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95" windowWidth="19125" windowHeight="10350" activeTab="10"/>
  </bookViews>
  <sheets>
    <sheet name="Cue" sheetId="1" r:id="rId1"/>
    <sheet name="Compilation" sheetId="2" r:id="rId2"/>
    <sheet name="Seg1" sheetId="3" r:id="rId3"/>
    <sheet name="Seg2" sheetId="4" r:id="rId4"/>
    <sheet name="Seg3" sheetId="5" r:id="rId5"/>
    <sheet name="Seg4" sheetId="6" r:id="rId6"/>
    <sheet name="Seg5" sheetId="7" r:id="rId7"/>
    <sheet name="Seg6" sheetId="8" r:id="rId8"/>
    <sheet name="Seg7" sheetId="9" r:id="rId9"/>
    <sheet name="Seg8" sheetId="10" r:id="rId10"/>
    <sheet name="Controle" sheetId="11" r:id="rId11"/>
    <sheet name="Card" sheetId="12" r:id="rId12"/>
  </sheets>
  <definedNames>
    <definedName name="_xlnm.Print_Area" localSheetId="0">'Cue'!$A$1:$G$510</definedName>
  </definedNames>
  <calcPr fullCalcOnLoad="1"/>
</workbook>
</file>

<file path=xl/sharedStrings.xml><?xml version="1.0" encoding="utf-8"?>
<sst xmlns="http://schemas.openxmlformats.org/spreadsheetml/2006/main" count="4638" uniqueCount="3634">
  <si>
    <t>Milford Square Pike (just before Exxon)</t>
  </si>
  <si>
    <t xml:space="preserve"> TRO Milford Square Pike (towards Exxon)</t>
  </si>
  <si>
    <t xml:space="preserve"> 126.43°</t>
  </si>
  <si>
    <t xml:space="preserve"> N40° 26.15'</t>
  </si>
  <si>
    <t xml:space="preserve"> W75° 24.62'</t>
  </si>
  <si>
    <t>TRO Milford Square Pike (towards Exxon)</t>
  </si>
  <si>
    <t xml:space="preserve"> Q TL</t>
  </si>
  <si>
    <t xml:space="preserve"> 78.64°</t>
  </si>
  <si>
    <t xml:space="preserve"> 6.65 mi</t>
  </si>
  <si>
    <t xml:space="preserve"> 14.33 mi</t>
  </si>
  <si>
    <t xml:space="preserve"> TRO Cherry Valley Rd / Rt 2006 (Del Water Gap sign)</t>
  </si>
  <si>
    <t xml:space="preserve"> W76° 30.73'</t>
  </si>
  <si>
    <t xml:space="preserve"> 0.24 mi</t>
  </si>
  <si>
    <t xml:space="preserve"> Lewis Rd (TFL) 24-hr WaWa on right corner (jct Rt 422)</t>
  </si>
  <si>
    <t xml:space="preserve"> 2.19 mi</t>
  </si>
  <si>
    <t xml:space="preserve"> 68.55°</t>
  </si>
  <si>
    <t xml:space="preserve"> 2.70 mi</t>
  </si>
  <si>
    <t xml:space="preserve"> 18.09 mi</t>
  </si>
  <si>
    <t>W Cherry Ln</t>
  </si>
  <si>
    <t xml:space="preserve"> Limerick Ctr Rd / Rt 4024</t>
  </si>
  <si>
    <t xml:space="preserve"> 306.65°</t>
  </si>
  <si>
    <t xml:space="preserve"> N40° 13.38'</t>
  </si>
  <si>
    <t xml:space="preserve"> W75° 32.35'</t>
  </si>
  <si>
    <t>Limerick Ctr Rd / Rt 4024</t>
  </si>
  <si>
    <t xml:space="preserve"> Ridge Pike (TFL) (strip mall with stores &amp; restaurants)</t>
  </si>
  <si>
    <t xml:space="preserve"> 0.83 mi</t>
  </si>
  <si>
    <t xml:space="preserve"> 3.69 mi</t>
  </si>
  <si>
    <t xml:space="preserve"> 36.18°</t>
  </si>
  <si>
    <t xml:space="preserve"> N40° 13.62'</t>
  </si>
  <si>
    <t xml:space="preserve"> W75° 32.77'</t>
  </si>
  <si>
    <t>Ridge Pike (TFL) (strip mall with stores &amp; restaurants)</t>
  </si>
  <si>
    <t xml:space="preserve"> Nieffer Rd / Rt 4021</t>
  </si>
  <si>
    <t xml:space="preserve"> 4.52 mi</t>
  </si>
  <si>
    <t xml:space="preserve"> 306.44°</t>
  </si>
  <si>
    <t xml:space="preserve"> N40° 14.21'</t>
  </si>
  <si>
    <t xml:space="preserve"> W75° 32.21'</t>
  </si>
  <si>
    <t>Nieffer Rd / Rt 4021</t>
  </si>
  <si>
    <t xml:space="preserve"> Swamp Pike TRO Neiffer Rd (TFL)</t>
  </si>
  <si>
    <t xml:space="preserve"> 4.95 mi</t>
  </si>
  <si>
    <t xml:space="preserve"> 45.63°</t>
  </si>
  <si>
    <t xml:space="preserve"> N40° 14.43'</t>
  </si>
  <si>
    <t xml:space="preserve"> W75° 32.60'</t>
  </si>
  <si>
    <t>TRO Red Bank Rd / Rt 543</t>
  </si>
  <si>
    <t xml:space="preserve"> 35.75 mi</t>
  </si>
  <si>
    <t xml:space="preserve"> 260.20°</t>
  </si>
  <si>
    <t xml:space="preserve"> 36.60 mi</t>
  </si>
  <si>
    <t xml:space="preserve"> 175.03°</t>
  </si>
  <si>
    <t xml:space="preserve"> Bunkertown Rd</t>
  </si>
  <si>
    <t xml:space="preserve"> 248.84°</t>
  </si>
  <si>
    <t>Bunkertown Rd</t>
  </si>
  <si>
    <t xml:space="preserve"> 37.52 mi</t>
  </si>
  <si>
    <t xml:space="preserve"> 344.48°</t>
  </si>
  <si>
    <t xml:space="preserve"> 37.63 mi</t>
  </si>
  <si>
    <t xml:space="preserve"> 244.80°</t>
  </si>
  <si>
    <t xml:space="preserve"> (unmarked) Rt 1003</t>
  </si>
  <si>
    <t xml:space="preserve"> 243.91°</t>
  </si>
  <si>
    <t>(unmarked) Rt 1003</t>
  </si>
  <si>
    <t xml:space="preserve"> Sunset Dr</t>
  </si>
  <si>
    <t xml:space="preserve"> 40.60 mi</t>
  </si>
  <si>
    <t xml:space="preserve"> 203.62°</t>
  </si>
  <si>
    <t>Sunset Dr</t>
  </si>
  <si>
    <t xml:space="preserve"> TRO Sunset Dr / Rt 535 (crossing Oakland Rd)</t>
  </si>
  <si>
    <t xml:space="preserve"> 245.45°</t>
  </si>
  <si>
    <t>TRO Sunset Dr / Rt 535 (crossing Oakland Rd)</t>
  </si>
  <si>
    <t xml:space="preserve"> Billyville Rd</t>
  </si>
  <si>
    <t xml:space="preserve"> 241.64°</t>
  </si>
  <si>
    <t>Billyville Rd</t>
  </si>
  <si>
    <t xml:space="preserve"> Jericho Rd (crossing Rt 1002)</t>
  </si>
  <si>
    <t xml:space="preserve"> 43.01 mi</t>
  </si>
  <si>
    <t xml:space="preserve"> 198.43°</t>
  </si>
  <si>
    <t>Jericho Rd (crossing Rt 1002)</t>
  </si>
  <si>
    <t xml:space="preserve"> 220.19°</t>
  </si>
  <si>
    <t xml:space="preserve"> Rt 22 underpass</t>
  </si>
  <si>
    <t xml:space="preserve"> 45.63 mi</t>
  </si>
  <si>
    <t>Time:
         04:00</t>
  </si>
  <si>
    <t>What's the price of regular gas?</t>
  </si>
  <si>
    <t>What year was Co. A mustered?</t>
  </si>
  <si>
    <t>Mail Postcard</t>
  </si>
  <si>
    <t xml:space="preserve"> L Cherry Valley Rd / Rt 2002 .."Kemmertown 4".."Winery"</t>
  </si>
  <si>
    <t>L Cherry Valley Rd / Rt 2002 .."Kemmertown 4".."Winery"</t>
  </si>
  <si>
    <t xml:space="preserve"> (SS) Cherry Valley Lr</t>
  </si>
  <si>
    <t>(SS) Cherry Valley Lr</t>
  </si>
  <si>
    <t xml:space="preserve"> (SS) Rt 191 (Begin long climb to Fox Gap)</t>
  </si>
  <si>
    <t>(SS) Rt 191 (Begin long climb to Fox Gap)</t>
  </si>
  <si>
    <t xml:space="preserve"> (SS) TRO Quaker Plain Rd</t>
  </si>
  <si>
    <t>(SS) TRO Quaker Plain Rd</t>
  </si>
  <si>
    <t xml:space="preserve"> (SS) Blue Mountain Dr </t>
  </si>
  <si>
    <t xml:space="preserve">(SS) Blue Mountain Dr </t>
  </si>
  <si>
    <t xml:space="preserve"> Lake Minsi Dr {Restaurant}</t>
  </si>
  <si>
    <t xml:space="preserve"> E Shore Dr .."East Entrance"</t>
  </si>
  <si>
    <t>E Shore Dr .."East Entrance"</t>
  </si>
  <si>
    <t xml:space="preserve"> (SS) Totts Gap Rd</t>
  </si>
  <si>
    <t>(SS) Totts Gap Rd</t>
  </si>
  <si>
    <t xml:space="preserve"> Million Dollar Hwy</t>
  </si>
  <si>
    <t>Million Dollar Hwy</t>
  </si>
  <si>
    <t xml:space="preserve"> (SS) Middle Village Rd</t>
  </si>
  <si>
    <t>(SS) Middle Village Rd</t>
  </si>
  <si>
    <t xml:space="preserve"> (TFL) Rt 611 [Portland]</t>
  </si>
  <si>
    <t>(TFL) Rt 611 [Portland]</t>
  </si>
  <si>
    <t>Cortez Rd (Saint Tikhons on right) ("Citgo" on left){MiniMart}</t>
  </si>
  <si>
    <t xml:space="preserve"> 144.12 mi</t>
  </si>
  <si>
    <t xml:space="preserve"> 24.16°</t>
  </si>
  <si>
    <t>Juniata River bridge [Mill Creek]</t>
  </si>
  <si>
    <t xml:space="preserve"> Rt 22 {Restaurant}</t>
  </si>
  <si>
    <t xml:space="preserve"> 13.67°</t>
  </si>
  <si>
    <t xml:space="preserve"> N40° 26.35'</t>
  </si>
  <si>
    <t>Rt 22 {Restaurant}</t>
  </si>
  <si>
    <t xml:space="preserve"> 115.93°</t>
  </si>
  <si>
    <t xml:space="preserve"> W77° 56.61'</t>
  </si>
  <si>
    <t xml:space="preserve"> Rt 1003 / Sugar Grove Rd (use turning lane) (Begin long steep climb)</t>
  </si>
  <si>
    <t xml:space="preserve"> 0.32 mi</t>
  </si>
  <si>
    <t xml:space="preserve"> 119.01°</t>
  </si>
  <si>
    <t xml:space="preserve"> W77° 56.49'</t>
  </si>
  <si>
    <t xml:space="preserve"> (SS) Rt 3018 / Old Carriage Rd [Seemsville]</t>
  </si>
  <si>
    <t>(SS) Rt 3018 / Old Carriage Rd [Seemsville]</t>
  </si>
  <si>
    <t xml:space="preserve"> 61.37°</t>
  </si>
  <si>
    <t xml:space="preserve"> (TFL) Blue Mountain Dr / Rt 4001</t>
  </si>
  <si>
    <t xml:space="preserve"> 35.46 mi</t>
  </si>
  <si>
    <t xml:space="preserve"> 68.32°</t>
  </si>
  <si>
    <t xml:space="preserve"> N40° 47.69'</t>
  </si>
  <si>
    <t>(TFL) Blue Mountain Dr / Rt 4001</t>
  </si>
  <si>
    <t xml:space="preserve"> 35.52 mi</t>
  </si>
  <si>
    <t xml:space="preserve"> 354.06°</t>
  </si>
  <si>
    <t xml:space="preserve"> N40° 47.71'</t>
  </si>
  <si>
    <t xml:space="preserve"> W75° 31.98'</t>
  </si>
  <si>
    <t xml:space="preserve"> 37.05 mi</t>
  </si>
  <si>
    <t xml:space="preserve"> 71.14°</t>
  </si>
  <si>
    <t xml:space="preserve"> Controle Sheetz on left Jct. Water St. {MiniMart}</t>
  </si>
  <si>
    <t xml:space="preserve"> 26.57°</t>
  </si>
  <si>
    <t xml:space="preserve"> N40° 23.18'</t>
  </si>
  <si>
    <t xml:space="preserve"> W77° 52.99'</t>
  </si>
  <si>
    <t>Controle Sheetz on left Jct. Water St. {MiniMart}</t>
  </si>
  <si>
    <t xml:space="preserve"> Leave controle turning left onto Rt 747 / N Jefferson St (same direction)</t>
  </si>
  <si>
    <t xml:space="preserve"> 87.00 mi</t>
  </si>
  <si>
    <t xml:space="preserve"> 40.42°</t>
  </si>
  <si>
    <t xml:space="preserve"> W77° 52.98'</t>
  </si>
  <si>
    <t>Leave controle turning left onto Rt 747 / N Jefferson St (same direction)</t>
  </si>
  <si>
    <t xml:space="preserve"> FMR TRO Rt 747 (toward Juniata River bridge)</t>
  </si>
  <si>
    <t xml:space="preserve"> 31.23°</t>
  </si>
  <si>
    <t>FMR TRO Rt 747 (toward Juniata River bridge)</t>
  </si>
  <si>
    <t xml:space="preserve"> 357.95°</t>
  </si>
  <si>
    <t xml:space="preserve"> N40° 23.51'</t>
  </si>
  <si>
    <t xml:space="preserve"> 272.03°</t>
  </si>
  <si>
    <t xml:space="preserve"> Bridge St / Rt 655 (crossing Juniata River bridge)</t>
  </si>
  <si>
    <t xml:space="preserve"> 268.12°</t>
  </si>
  <si>
    <t>Bridge St / Rt 655 (crossing Juniata River bridge)</t>
  </si>
  <si>
    <t xml:space="preserve"> FMR TRO Rt 655 / Main St [Mapleton]</t>
  </si>
  <si>
    <t xml:space="preserve"> 234.35°</t>
  </si>
  <si>
    <t>FMR TRO Rt 655 / Main St [Mapleton]</t>
  </si>
  <si>
    <t xml:space="preserve"> 4.14°</t>
  </si>
  <si>
    <t xml:space="preserve"> 280.47°</t>
  </si>
  <si>
    <t xml:space="preserve"> (SS) Rt 829</t>
  </si>
  <si>
    <t xml:space="preserve"> 12.32°</t>
  </si>
  <si>
    <t>(SS) Rt 829</t>
  </si>
  <si>
    <t xml:space="preserve"> Juniata River bridge [Mill Creek]</t>
  </si>
  <si>
    <t xml:space="preserve"> W76° 53.34'</t>
  </si>
  <si>
    <t>(SS) 3rd St TRO St Anthony b/c River Rd ahead at bend</t>
  </si>
  <si>
    <t>474 Reuters Blvd, Towanda, PA</t>
  </si>
  <si>
    <t>Rt 1003 / Sugar Grove Rd (use turning lane) (Begin long steep climb)</t>
  </si>
  <si>
    <t xml:space="preserve"> Rt 1001 / Stone Creek Ridge Rd (Top of climb)</t>
  </si>
  <si>
    <t xml:space="preserve"> 2.81°</t>
  </si>
  <si>
    <t>Rt 1001 / Stone Creek Ridge Rd (Top of climb)</t>
  </si>
  <si>
    <t xml:space="preserve"> (SS) Rt 26 / Standing Stone Rd</t>
  </si>
  <si>
    <t xml:space="preserve"> 6.88 mi</t>
  </si>
  <si>
    <t xml:space="preserve"> 21.00°</t>
  </si>
  <si>
    <t>(SS) Rt 26 / Standing Stone Rd</t>
  </si>
  <si>
    <t xml:space="preserve"> (SS) TRO Rt 26 (Jct Rt 305)</t>
  </si>
  <si>
    <t xml:space="preserve"> 35.90°</t>
  </si>
  <si>
    <t>(SS) TRO Rt 26 (Jct Rt 305)</t>
  </si>
  <si>
    <t xml:space="preserve"> "Whipple Dam Store" and "Doan's Bones BBQ"  on right {MiniMart Restaurant }</t>
  </si>
  <si>
    <t xml:space="preserve"> 4.72 mi</t>
  </si>
  <si>
    <t xml:space="preserve"> 330.29°</t>
  </si>
  <si>
    <t>Whipple Dam Store and "Doan's Bones BBQ"  on right {MiniMart Restaurant }</t>
  </si>
  <si>
    <t xml:space="preserve"> Jo Hayes Overlook parking area on left CAUTION: Steep twisty descent {Scenic vista}</t>
  </si>
  <si>
    <t xml:space="preserve"> 3.60 mi</t>
  </si>
  <si>
    <t xml:space="preserve"> N40° 40.71'</t>
  </si>
  <si>
    <t>Jo Hayes Overlook parking area on left CAUTION: Steep twisty descent {Scenic vista}</t>
  </si>
  <si>
    <t xml:space="preserve"> Controle Shell MiniMart at TFL Jct Rt 45 [Pine Grove Mills] {MiniMart}</t>
  </si>
  <si>
    <t xml:space="preserve"> 19.87°</t>
  </si>
  <si>
    <t>Controle Shell MiniMart at TFL Jct Rt 45 [Pine Grove Mills] {MiniMart}</t>
  </si>
  <si>
    <t xml:space="preserve"> Leave controle turning right on Rt 26 / E Pine Grove Rd (same direction)</t>
  </si>
  <si>
    <t xml:space="preserve"> 2.74°</t>
  </si>
  <si>
    <t>Leave controle turning right on Rt 26 / E Pine Grove Rd (same direction)</t>
  </si>
  <si>
    <t xml:space="preserve"> Rt 45 / Shingletown Rd (leaving Rt 26 which splits left)</t>
  </si>
  <si>
    <t xml:space="preserve"> 40.33°</t>
  </si>
  <si>
    <t>Rt 45 / Shingletown Rd (leaving Rt 26 which splits left)</t>
  </si>
  <si>
    <t xml:space="preserve"> Main St (Look for "Historic Boalsburg Village")</t>
  </si>
  <si>
    <t xml:space="preserve"> 59.74°</t>
  </si>
  <si>
    <t>Main St (Look for "Historic Boalsburg Village")</t>
  </si>
  <si>
    <t xml:space="preserve"> Duffy's Tavern on left [Boalsburg] {Pub}</t>
  </si>
  <si>
    <t xml:space="preserve"> 84.13°</t>
  </si>
  <si>
    <t>Duffy's Tavern on left [Boalsburg] {Pub}</t>
  </si>
  <si>
    <t xml:space="preserve"> (TFL) Rt 322 (joining Rt 45 / Earlystown Rd) {MiniMart off-course 0.2 mi left}</t>
  </si>
  <si>
    <t xml:space="preserve"> 71.58°</t>
  </si>
  <si>
    <t xml:space="preserve"> N40° 46.53'</t>
  </si>
  <si>
    <t xml:space="preserve"> W77° 47.56'</t>
  </si>
  <si>
    <t>(TFL) Rt 322 (joining Rt 45 / Earlystown Rd) {MiniMart off-course 0.2 mi left}</t>
  </si>
  <si>
    <t xml:space="preserve"> TRO Linden Hall Rd / Rt 2006 (follow "Linden Hall")</t>
  </si>
  <si>
    <t xml:space="preserve"> 63.65°</t>
  </si>
  <si>
    <t xml:space="preserve"> (SS) FMR Rock Hill Rd / 2006 (Bike "G")</t>
  </si>
  <si>
    <t xml:space="preserve"> 344.71°</t>
  </si>
  <si>
    <t>(SS) FMR Rock Hill Rd / 2006 (Bike "G")</t>
  </si>
  <si>
    <t xml:space="preserve"> (SS) Joining Brush Valley Rd / Rt 2006 b/c Rt 192</t>
  </si>
  <si>
    <t xml:space="preserve"> 343.12°</t>
  </si>
  <si>
    <t>(SS) Joining Brush Valley Rd / Rt 2006 b/c Rt 192</t>
  </si>
  <si>
    <t xml:space="preserve"> (TFL) Rt 144 (now on Church St / Rt 192) [Centre Hall] {Restaurant Stores}</t>
  </si>
  <si>
    <t xml:space="preserve"> 49.58°</t>
  </si>
  <si>
    <t>(TFL) Rt 144 (now on Church St / Rt 192) [Centre Hall] {Restaurant Stores}</t>
  </si>
  <si>
    <t xml:space="preserve"> (TFL) Rt 15 (now on Buffalo Rd) [Lewisburg]</t>
  </si>
  <si>
    <t>(TFL) Rt 15 (now on Buffalo Rd) [Lewisburg]</t>
  </si>
  <si>
    <t xml:space="preserve"> 91.77°</t>
  </si>
  <si>
    <t xml:space="preserve"> 66.29°</t>
  </si>
  <si>
    <t xml:space="preserve"> 9.52°</t>
  </si>
  <si>
    <t xml:space="preserve"> 305.54°</t>
  </si>
  <si>
    <t xml:space="preserve"> Controle Lewisburg Country Inn &amp; Suites on left</t>
  </si>
  <si>
    <t xml:space="preserve"> 3.65°</t>
  </si>
  <si>
    <t>Controle Lewisburg Country Inn &amp; Suites on left</t>
  </si>
  <si>
    <t xml:space="preserve"> 95.71°</t>
  </si>
  <si>
    <t xml:space="preserve"> Stop at Penn Jersey Gas Station on right then cross Delaware River pedestrian bridge{MiniMart}</t>
  </si>
  <si>
    <t>Stop at Penn Jersey Gas Station on right then cross Delaware River pedestrian bridge{MiniMart}</t>
  </si>
  <si>
    <t xml:space="preserve"> Special Stop+X</t>
  </si>
  <si>
    <t xml:space="preserve"> Joining Green St (at end of pedestrian bridge) {Water Gap vista on left}</t>
  </si>
  <si>
    <t xml:space="preserve"> 64.31°</t>
  </si>
  <si>
    <t>Joining Green St (at end of pedestrian bridge) {Water Gap vista on left}</t>
  </si>
  <si>
    <t xml:space="preserve"> (SS) Decatur St / Rt 676</t>
  </si>
  <si>
    <t xml:space="preserve"> 36.43 mi</t>
  </si>
  <si>
    <t xml:space="preserve"> 55.01°</t>
  </si>
  <si>
    <t xml:space="preserve"> N40° 55.57'</t>
  </si>
  <si>
    <t xml:space="preserve"> W75° 5.71'</t>
  </si>
  <si>
    <t>(SS) Decatur St / Rt 676</t>
  </si>
  <si>
    <t xml:space="preserve"> Rt 80 overpass (follow "All Traffic")</t>
  </si>
  <si>
    <t xml:space="preserve"> Joining Mill Rd (Weaverland Rd bears left)</t>
  </si>
  <si>
    <t>Joining Mill Rd (Weaverland Rd bears left)</t>
  </si>
  <si>
    <t xml:space="preserve"> TRO Mill Rd (at Brendle)</t>
  </si>
  <si>
    <t xml:space="preserve"> 113.76°</t>
  </si>
  <si>
    <t>TRO Mill Rd (at Brendle)</t>
  </si>
  <si>
    <t xml:space="preserve"> 69.29°</t>
  </si>
  <si>
    <t xml:space="preserve"> W75° 59.65'</t>
  </si>
  <si>
    <t xml:space="preserve"> TRO Churchtown Rd (at Hammertown Rd)</t>
  </si>
  <si>
    <t>TRO Churchtown Rd (at Hammertown Rd)</t>
  </si>
  <si>
    <t xml:space="preserve"> 151.32°</t>
  </si>
  <si>
    <t xml:space="preserve"> Morgantown Rd (TFL) [Morgantown]</t>
  </si>
  <si>
    <t xml:space="preserve"> 4.25 mi</t>
  </si>
  <si>
    <t xml:space="preserve"> 68.87°</t>
  </si>
  <si>
    <t xml:space="preserve"> N40° 7.99'</t>
  </si>
  <si>
    <t xml:space="preserve"> W75° 57.87'</t>
  </si>
  <si>
    <t xml:space="preserve"> N40° 9.31'</t>
  </si>
  <si>
    <t xml:space="preserve"> W75° 53.41'</t>
  </si>
  <si>
    <t>Morgan Way (on right)</t>
  </si>
  <si>
    <t xml:space="preserve"> Twin Valley Rd (SS) TRO Elverson Rd</t>
  </si>
  <si>
    <t>Twin Valley Rd (SS) TRO Elverson Rd</t>
  </si>
  <si>
    <t xml:space="preserve"> W75° 39.53'</t>
  </si>
  <si>
    <t xml:space="preserve"> ***L</t>
  </si>
  <si>
    <t xml:space="preserve"> 0.87 mi</t>
  </si>
  <si>
    <t xml:space="preserve"> 1.49 mi</t>
  </si>
  <si>
    <t xml:space="preserve"> 2.42 mi</t>
  </si>
  <si>
    <t xml:space="preserve"> TL + QR</t>
  </si>
  <si>
    <t xml:space="preserve"> 72.18°</t>
  </si>
  <si>
    <t xml:space="preserve"> W75° 23.44'</t>
  </si>
  <si>
    <t xml:space="preserve"> N40° 32.01'</t>
  </si>
  <si>
    <t>481 Suedberg Road, Pine Grove, PA</t>
  </si>
  <si>
    <t>PineGrove_ParkerFord_A</t>
  </si>
  <si>
    <t>Rt 443 Pine Grove Hampton Inn</t>
  </si>
  <si>
    <t xml:space="preserve"> Leave controle turning left onto Rt 443 (away from Rt 81 overpass)</t>
  </si>
  <si>
    <t xml:space="preserve"> 205.73°</t>
  </si>
  <si>
    <t xml:space="preserve"> N40° 32.06'</t>
  </si>
  <si>
    <t xml:space="preserve"> W76° 25.88'</t>
  </si>
  <si>
    <t>Leave controle turning left onto Rt 443 (away from Rt 81 overpass)</t>
  </si>
  <si>
    <t xml:space="preserve"> 8.23 mi</t>
  </si>
  <si>
    <t xml:space="preserve"> 240.32°</t>
  </si>
  <si>
    <t xml:space="preserve"> W76° 25.91'</t>
  </si>
  <si>
    <t xml:space="preserve"> 8.29 mi</t>
  </si>
  <si>
    <t xml:space="preserve"> Lickdale Rd (unmarked) (TFL) Look for Hess mini mart on left</t>
  </si>
  <si>
    <t>Lickdale Rd (unmarked) (TFL) Look for Hess mini mart on left</t>
  </si>
  <si>
    <t xml:space="preserve"> 11.93 mi</t>
  </si>
  <si>
    <t xml:space="preserve"> 12.28 mi</t>
  </si>
  <si>
    <t xml:space="preserve"> 17.02 mi</t>
  </si>
  <si>
    <t xml:space="preserve"> 17.19 mi</t>
  </si>
  <si>
    <t xml:space="preserve"> 18.50 mi</t>
  </si>
  <si>
    <t xml:space="preserve"> 20.91 mi</t>
  </si>
  <si>
    <t xml:space="preserve"> 24.25 mi</t>
  </si>
  <si>
    <t xml:space="preserve"> 24.63 mi</t>
  </si>
  <si>
    <t xml:space="preserve"> 26.90 mi</t>
  </si>
  <si>
    <t xml:space="preserve"> 27.24 mi</t>
  </si>
  <si>
    <t xml:space="preserve"> 30.38 mi</t>
  </si>
  <si>
    <t xml:space="preserve"> 30.60 mi</t>
  </si>
  <si>
    <t xml:space="preserve"> 32.09 mi</t>
  </si>
  <si>
    <t xml:space="preserve"> 32.15 mi</t>
  </si>
  <si>
    <t xml:space="preserve"> 34.67 mi</t>
  </si>
  <si>
    <t xml:space="preserve"> 41.59 mi</t>
  </si>
  <si>
    <t xml:space="preserve"> 42.49 mi</t>
  </si>
  <si>
    <t xml:space="preserve"> 42.78 mi</t>
  </si>
  <si>
    <t xml:space="preserve"> 43.70 mi</t>
  </si>
  <si>
    <t xml:space="preserve"> 43.81 mi</t>
  </si>
  <si>
    <t xml:space="preserve"> 44.82 mi</t>
  </si>
  <si>
    <t xml:space="preserve"> 47.50 mi</t>
  </si>
  <si>
    <t xml:space="preserve"> 47.55 mi</t>
  </si>
  <si>
    <t xml:space="preserve"> 49.01 mi</t>
  </si>
  <si>
    <t xml:space="preserve"> 49.53 mi</t>
  </si>
  <si>
    <t xml:space="preserve"> 50.18 mi</t>
  </si>
  <si>
    <t xml:space="preserve"> 51.12 mi</t>
  </si>
  <si>
    <t xml:space="preserve"> 52.56 mi</t>
  </si>
  <si>
    <t xml:space="preserve"> 53.26 mi</t>
  </si>
  <si>
    <t xml:space="preserve"> 53.43 mi</t>
  </si>
  <si>
    <t xml:space="preserve"> 53.82 mi</t>
  </si>
  <si>
    <t xml:space="preserve"> 55.45 mi</t>
  </si>
  <si>
    <t xml:space="preserve"> 56.28 mi</t>
  </si>
  <si>
    <t xml:space="preserve"> 56.98 mi</t>
  </si>
  <si>
    <t xml:space="preserve"> 57.35 mi</t>
  </si>
  <si>
    <t xml:space="preserve"> 57.56 mi</t>
  </si>
  <si>
    <t xml:space="preserve"> 58.69 mi</t>
  </si>
  <si>
    <t xml:space="preserve"> 58.82 mi</t>
  </si>
  <si>
    <t xml:space="preserve"> 61.82 mi</t>
  </si>
  <si>
    <t xml:space="preserve"> 64.64 mi</t>
  </si>
  <si>
    <t xml:space="preserve"> 65.35 mi</t>
  </si>
  <si>
    <t xml:space="preserve"> 66.25 mi</t>
  </si>
  <si>
    <t xml:space="preserve"> 66.53 mi</t>
  </si>
  <si>
    <t xml:space="preserve"> 71.96 mi</t>
  </si>
  <si>
    <t xml:space="preserve"> 72.13 mi</t>
  </si>
  <si>
    <t xml:space="preserve"> 73.66 mi</t>
  </si>
  <si>
    <t xml:space="preserve"> 76.15 mi</t>
  </si>
  <si>
    <t xml:space="preserve"> 77.60 mi</t>
  </si>
  <si>
    <t xml:space="preserve"> 78.46 mi</t>
  </si>
  <si>
    <t xml:space="preserve"> Bethel Church Rd (SS) Just before Rt 724 Jct (TFL on left) </t>
  </si>
  <si>
    <t>Inspection</t>
  </si>
  <si>
    <t>Secret 1</t>
  </si>
  <si>
    <t>Secret 2</t>
  </si>
  <si>
    <t>Secret 3</t>
  </si>
  <si>
    <t xml:space="preserve">Time:
    </t>
  </si>
  <si>
    <t xml:space="preserve"> Perkiomenville Rd</t>
  </si>
  <si>
    <t xml:space="preserve"> 13.41 mi</t>
  </si>
  <si>
    <t xml:space="preserve"> 64.97°</t>
  </si>
  <si>
    <t xml:space="preserve"> N40° 19.46'</t>
  </si>
  <si>
    <t xml:space="preserve"> W75° 28.72'</t>
  </si>
  <si>
    <t>Perkiomenville Rd</t>
  </si>
  <si>
    <t xml:space="preserve"> Rt 63 / Main St</t>
  </si>
  <si>
    <t xml:space="preserve"> 13.93 mi</t>
  </si>
  <si>
    <t xml:space="preserve"> 59.76°</t>
  </si>
  <si>
    <t xml:space="preserve"> N40° 19.64'</t>
  </si>
  <si>
    <t xml:space="preserve"> W75° 28.21'</t>
  </si>
  <si>
    <t>Rt 63 / Main St</t>
  </si>
  <si>
    <t xml:space="preserve"> *** 1st L</t>
  </si>
  <si>
    <t xml:space="preserve"> 132.71°</t>
  </si>
  <si>
    <t xml:space="preserve"> N40° 19.94'</t>
  </si>
  <si>
    <t xml:space="preserve"> W75° 27.53'</t>
  </si>
  <si>
    <t xml:space="preserve"> N40° 19.85'</t>
  </si>
  <si>
    <t xml:space="preserve"> W75° 27.40'</t>
  </si>
  <si>
    <t xml:space="preserve"> 15.27 mi</t>
  </si>
  <si>
    <t xml:space="preserve"> N40° 20.08'</t>
  </si>
  <si>
    <t xml:space="preserve"> W75° 27.00'</t>
  </si>
  <si>
    <t xml:space="preserve"> 1.15 mi</t>
  </si>
  <si>
    <t xml:space="preserve"> 18.52 mi</t>
  </si>
  <si>
    <t xml:space="preserve"> 8.16°</t>
  </si>
  <si>
    <t xml:space="preserve"> N40° 22.08'</t>
  </si>
  <si>
    <t xml:space="preserve"> 19.67 mi</t>
  </si>
  <si>
    <t xml:space="preserve"> 75.50°</t>
  </si>
  <si>
    <t xml:space="preserve"> N40° 23.04'</t>
  </si>
  <si>
    <t xml:space="preserve"> W75° 25.30'</t>
  </si>
  <si>
    <t xml:space="preserve"> 19.76 mi</t>
  </si>
  <si>
    <t xml:space="preserve"> 24.50°</t>
  </si>
  <si>
    <t>Denny's (570) 374-6646</t>
  </si>
  <si>
    <t>Susquehanna Trl / Rt 11, Selinsgrove, PA</t>
  </si>
  <si>
    <t xml:space="preserve"> Juniata River bridge</t>
  </si>
  <si>
    <t xml:space="preserve"> N40° 26.53'</t>
  </si>
  <si>
    <t xml:space="preserve"> W77° 56.63'</t>
  </si>
  <si>
    <t>Juniata River bridge</t>
  </si>
  <si>
    <t xml:space="preserve"> N40° 25.37'</t>
  </si>
  <si>
    <t xml:space="preserve"> W77° 57.26'</t>
  </si>
  <si>
    <t xml:space="preserve"> N40° 24.34'</t>
  </si>
  <si>
    <t xml:space="preserve"> W77° 57.55'</t>
  </si>
  <si>
    <t xml:space="preserve"> N40° 24.21'</t>
  </si>
  <si>
    <t xml:space="preserve"> N40° 23.67'</t>
  </si>
  <si>
    <t xml:space="preserve"> W77° 56.68'</t>
  </si>
  <si>
    <t xml:space="preserve"> N40° 23.60'</t>
  </si>
  <si>
    <t xml:space="preserve"> W77° 56.51'</t>
  </si>
  <si>
    <t xml:space="preserve"> N40° 23.69'</t>
  </si>
  <si>
    <t xml:space="preserve"> W77° 56.34'</t>
  </si>
  <si>
    <t xml:space="preserve"> 2.60 mi</t>
  </si>
  <si>
    <t xml:space="preserve"> W77° 55.57'</t>
  </si>
  <si>
    <t xml:space="preserve"> N40° 23.63'</t>
  </si>
  <si>
    <t xml:space="preserve"> W77° 52.73'</t>
  </si>
  <si>
    <t xml:space="preserve"> N40° 23.10'</t>
  </si>
  <si>
    <t xml:space="preserve"> N40° 28.84'</t>
  </si>
  <si>
    <t xml:space="preserve"> W77° 43.42'</t>
  </si>
  <si>
    <t xml:space="preserve"> N40° 29.31'</t>
  </si>
  <si>
    <t xml:space="preserve"> W77° 42.88'</t>
  </si>
  <si>
    <t xml:space="preserve">10853 Route 44 North, Waterville, PA </t>
  </si>
  <si>
    <t>Perkins (570) 743-8181</t>
  </si>
  <si>
    <t>1394 N Susquehanna Trl / Rt 11, Selinsgrove, PA</t>
  </si>
  <si>
    <t xml:space="preserve"> W77° 53.16'</t>
  </si>
  <si>
    <t xml:space="preserve"> 5.27 mi</t>
  </si>
  <si>
    <t xml:space="preserve"> N40° 38.18'</t>
  </si>
  <si>
    <t xml:space="preserve"> W77° 50.78'</t>
  </si>
  <si>
    <t xml:space="preserve"> N40° 35.12'</t>
  </si>
  <si>
    <t xml:space="preserve"> W77° 53.70'</t>
  </si>
  <si>
    <t xml:space="preserve"> 1.17 mi</t>
  </si>
  <si>
    <t xml:space="preserve"> 6.00 mi</t>
  </si>
  <si>
    <t xml:space="preserve"> N40° 30.79'</t>
  </si>
  <si>
    <t xml:space="preserve"> W77° 55.88'</t>
  </si>
  <si>
    <t xml:space="preserve"> N40° 26.40'</t>
  </si>
  <si>
    <t xml:space="preserve"> W77° 56.17'</t>
  </si>
  <si>
    <t xml:space="preserve"> N40° 34.23'</t>
  </si>
  <si>
    <t xml:space="preserve"> W77° 24.36'</t>
  </si>
  <si>
    <t xml:space="preserve"> 0.30 mi</t>
  </si>
  <si>
    <t xml:space="preserve"> N40° 34.24'</t>
  </si>
  <si>
    <t xml:space="preserve"> W77° 24.29'</t>
  </si>
  <si>
    <t xml:space="preserve"> N40° 33.97'</t>
  </si>
  <si>
    <t xml:space="preserve"> Metzler Rd (SS)</t>
  </si>
  <si>
    <t xml:space="preserve"> 157.98°</t>
  </si>
  <si>
    <t xml:space="preserve"> N40° 8.73'</t>
  </si>
  <si>
    <t xml:space="preserve"> W76° 12.04'</t>
  </si>
  <si>
    <t>Metzler Rd (SS)</t>
  </si>
  <si>
    <t xml:space="preserve"> N. Farmersville Rd</t>
  </si>
  <si>
    <t xml:space="preserve"> 70.89°</t>
  </si>
  <si>
    <t xml:space="preserve"> W76° 11.76'</t>
  </si>
  <si>
    <t>N. Farmersville Rd</t>
  </si>
  <si>
    <t xml:space="preserve"> E Farmersville Rd (SS) (now on S Farmersville Rd)</t>
  </si>
  <si>
    <t xml:space="preserve"> 1.44 mi</t>
  </si>
  <si>
    <t xml:space="preserve"> 141.00°</t>
  </si>
  <si>
    <t xml:space="preserve"> N40° 8.47'</t>
  </si>
  <si>
    <t xml:space="preserve"> W76° 10.77'</t>
  </si>
  <si>
    <t>E Farmersville Rd (SS) (now on S Farmersville Rd)</t>
  </si>
  <si>
    <t xml:space="preserve"> Sheaffers School Rd</t>
  </si>
  <si>
    <t xml:space="preserve"> 150.80°</t>
  </si>
  <si>
    <t xml:space="preserve"> N40° 7.66'</t>
  </si>
  <si>
    <t xml:space="preserve"> W76° 9.91'</t>
  </si>
  <si>
    <t>Sheaffers School Rd</t>
  </si>
  <si>
    <t xml:space="preserve"> Weavers Bike Shop on left (worth a quick look)</t>
  </si>
  <si>
    <t xml:space="preserve"> 95.61°</t>
  </si>
  <si>
    <t xml:space="preserve"> N40° 7.18'</t>
  </si>
  <si>
    <t xml:space="preserve"> W76° 9.56'</t>
  </si>
  <si>
    <t>Weavers Bike Shop on left (worth a quick look)</t>
  </si>
  <si>
    <t xml:space="preserve"> Saw Mill Rd</t>
  </si>
  <si>
    <t xml:space="preserve"> 119.35°</t>
  </si>
  <si>
    <t xml:space="preserve"> N40° 7.17'</t>
  </si>
  <si>
    <t xml:space="preserve"> W76° 9.37'</t>
  </si>
  <si>
    <t>Saw Mill Rd</t>
  </si>
  <si>
    <t xml:space="preserve"> Fairmount Rd</t>
  </si>
  <si>
    <t xml:space="preserve"> 88.85°</t>
  </si>
  <si>
    <t xml:space="preserve"> N40° 7.02'</t>
  </si>
  <si>
    <t xml:space="preserve"> W76° 9.02'</t>
  </si>
  <si>
    <t>Fairmount Rd</t>
  </si>
  <si>
    <t xml:space="preserve"> Amishtown Rd (at 5-way intersection)</t>
  </si>
  <si>
    <t xml:space="preserve"> N40° 34.84'</t>
  </si>
  <si>
    <t>(TFL) Rt 6 / Main St [Port Jervis NY]</t>
  </si>
  <si>
    <t xml:space="preserve"> Controle Muller's Port Jervis Diner (on left at TFL){Diner stores}</t>
  </si>
  <si>
    <t xml:space="preserve"> 83.13 mi</t>
  </si>
  <si>
    <t xml:space="preserve"> 358.85°</t>
  </si>
  <si>
    <t xml:space="preserve"> N41° 21.61'</t>
  </si>
  <si>
    <t xml:space="preserve"> W74° 41.08'</t>
  </si>
  <si>
    <t>Controle Muller's Port Jervis Diner (on left at TFL){Diner stores}</t>
  </si>
  <si>
    <t xml:space="preserve"> Leave controle left on Rt 6 / Main St (same direction)</t>
  </si>
  <si>
    <t xml:space="preserve"> 84.30 mi</t>
  </si>
  <si>
    <t xml:space="preserve"> 14.04°</t>
  </si>
  <si>
    <t xml:space="preserve"> N41° 22.55'</t>
  </si>
  <si>
    <t xml:space="preserve"> W74° 41.10'</t>
  </si>
  <si>
    <t>Leave controle left on Rt 6 / Main St (same direction)</t>
  </si>
  <si>
    <t xml:space="preserve"> (TFL) Joining Rt 42{Stores MiniMart}</t>
  </si>
  <si>
    <t xml:space="preserve"> 84.31 mi</t>
  </si>
  <si>
    <t xml:space="preserve"> 302.04°</t>
  </si>
  <si>
    <t xml:space="preserve"> N41° 22.56'</t>
  </si>
  <si>
    <t>(TFL) Joining Rt 42{Stores MiniMart}</t>
  </si>
  <si>
    <t xml:space="preserve"> FMR Rt 97 (leaving Rt 42 which goes right)</t>
  </si>
  <si>
    <t xml:space="preserve"> 2.83 mi</t>
  </si>
  <si>
    <t xml:space="preserve"> 84.55 mi</t>
  </si>
  <si>
    <t xml:space="preserve"> 307.89°</t>
  </si>
  <si>
    <t xml:space="preserve"> N41° 22.67'</t>
  </si>
  <si>
    <t xml:space="preserve"> W74° 41.34'</t>
  </si>
  <si>
    <t>FMR Rt 97 (leaving Rt 42 which goes right)</t>
  </si>
  <si>
    <t xml:space="preserve"> POI Hawk's Nest overlooks on left) {Scenic Vista}</t>
  </si>
  <si>
    <t xml:space="preserve"> 2.50 mi</t>
  </si>
  <si>
    <t xml:space="preserve"> 87.38 mi</t>
  </si>
  <si>
    <t xml:space="preserve"> 344.80°</t>
  </si>
  <si>
    <t xml:space="preserve"> N41° 24.12'</t>
  </si>
  <si>
    <t xml:space="preserve"> W74° 43.82'</t>
  </si>
  <si>
    <t>POI Hawk's Nest overlooks on left) {Scenic Vista}</t>
  </si>
  <si>
    <t xml:space="preserve"> Rt 31 (at bottom of descent).."Glen Spey 5"</t>
  </si>
  <si>
    <t xml:space="preserve"> 89.88 mi</t>
  </si>
  <si>
    <t xml:space="preserve"> 235.61°</t>
  </si>
  <si>
    <t xml:space="preserve"> N41° 26.04'</t>
  </si>
  <si>
    <t xml:space="preserve"> W74° 44.51'</t>
  </si>
  <si>
    <t>HQ</t>
  </si>
  <si>
    <t>(610) 559-1145</t>
  </si>
  <si>
    <t>EM1240K_B (RUSA# 788) 8/2/13 Draft 4 Rt 405 detour</t>
  </si>
  <si>
    <t>Top of Millbrook climb (CAUTION on steep twisty descent)</t>
  </si>
  <si>
    <t xml:space="preserve"> (unmarked) Old Mine Rd  [Millbrook Village] follow Walpack</t>
  </si>
  <si>
    <t xml:space="preserve"> 52.68 mi</t>
  </si>
  <si>
    <t>(unmarked) Old Mine Rd  [Millbrook Village] follow Walpack</t>
  </si>
  <si>
    <t xml:space="preserve"> ROUGH DESCENT -- watch for LARGE potholes on STEEP descent</t>
  </si>
  <si>
    <t xml:space="preserve"> 53.76 mi</t>
  </si>
  <si>
    <t xml:space="preserve"> 9.48°</t>
  </si>
  <si>
    <t>ROUGH DESCENT -- watch for LARGE potholes on STEEP descent</t>
  </si>
  <si>
    <t xml:space="preserve"> EXTREME CAUTION</t>
  </si>
  <si>
    <t xml:space="preserve"> (unmarked) NPS 615 (follow Walpack) Caution: abrupt stop at bottom of Rough steep descent</t>
  </si>
  <si>
    <t xml:space="preserve"> 55.03 mi</t>
  </si>
  <si>
    <t xml:space="preserve"> 350.57°</t>
  </si>
  <si>
    <t xml:space="preserve"> N41° 5.44'</t>
  </si>
  <si>
    <t>(unmarked) NPS 615 (follow Walpack) Caution: abrupt stop at bottom of Rough steep descent</t>
  </si>
  <si>
    <t xml:space="preserve"> 55.87 mi</t>
  </si>
  <si>
    <t xml:space="preserve"> 65.55 mi</t>
  </si>
  <si>
    <t xml:space="preserve"> 66.24 mi</t>
  </si>
  <si>
    <t xml:space="preserve"> 38.26°</t>
  </si>
  <si>
    <t xml:space="preserve"> Rt 645 / Layton Hainesville Rd</t>
  </si>
  <si>
    <t xml:space="preserve"> 67.58 mi</t>
  </si>
  <si>
    <t xml:space="preserve"> 69.36°</t>
  </si>
  <si>
    <t xml:space="preserve"> N41° 12.92'</t>
  </si>
  <si>
    <t xml:space="preserve"> W74° 49.64'</t>
  </si>
  <si>
    <t>Rt 645 / Layton Hainesville Rd</t>
  </si>
  <si>
    <t xml:space="preserve"> 2.25 mi</t>
  </si>
  <si>
    <t xml:space="preserve"> 67.82 mi</t>
  </si>
  <si>
    <t xml:space="preserve"> 30.71°</t>
  </si>
  <si>
    <t xml:space="preserve"> N41° 12.99'</t>
  </si>
  <si>
    <t xml:space="preserve"> W74° 49.38'</t>
  </si>
  <si>
    <t xml:space="preserve"> Rt 646 / Jager Rd</t>
  </si>
  <si>
    <t xml:space="preserve"> 70.07 mi</t>
  </si>
  <si>
    <t xml:space="preserve"> 353.73°</t>
  </si>
  <si>
    <t xml:space="preserve"> N41° 14.62'</t>
  </si>
  <si>
    <t xml:space="preserve"> W74° 48.09'</t>
  </si>
  <si>
    <t>Rt 646 / Jager Rd</t>
  </si>
  <si>
    <t xml:space="preserve"> FMR TRO Rt 646 / Jager Rd (Jct Ayers Rd)</t>
  </si>
  <si>
    <t xml:space="preserve"> 70.86 mi</t>
  </si>
  <si>
    <t xml:space="preserve"> 298.68°</t>
  </si>
  <si>
    <t xml:space="preserve"> N41° 15.30'</t>
  </si>
  <si>
    <t xml:space="preserve"> W74° 48.19'</t>
  </si>
  <si>
    <t>FMR TRO Rt 646 / Jager Rd (Jct Ayers Rd)</t>
  </si>
  <si>
    <t xml:space="preserve"> BL</t>
  </si>
  <si>
    <t xml:space="preserve"> (unmarked) Old Mine Rd (Caution abrupt stop)</t>
  </si>
  <si>
    <t xml:space="preserve"> 71.39 mi</t>
  </si>
  <si>
    <t xml:space="preserve"> 291.38°</t>
  </si>
  <si>
    <t xml:space="preserve"> N41° 15.50'</t>
  </si>
  <si>
    <t xml:space="preserve"> W74° 48.66'</t>
  </si>
  <si>
    <t>(unmarked) Old Mine Rd (Caution abrupt stop)</t>
  </si>
  <si>
    <t xml:space="preserve"> Rough road/gravel patches ahead</t>
  </si>
  <si>
    <t xml:space="preserve"> 0.66 mi</t>
  </si>
  <si>
    <t xml:space="preserve"> 72.42 mi</t>
  </si>
  <si>
    <t xml:space="preserve"> 20.65°</t>
  </si>
  <si>
    <t xml:space="preserve"> N41° 15.80'</t>
  </si>
  <si>
    <t xml:space="preserve"> W74° 49.70'</t>
  </si>
  <si>
    <t>Rough road/gravel patches ahead</t>
  </si>
  <si>
    <t xml:space="preserve"> Rt 521 North / River Rd (crossing Rt 206) NOT Deckertown Tpk</t>
  </si>
  <si>
    <t xml:space="preserve"> 73.08 mi</t>
  </si>
  <si>
    <t xml:space="preserve"> 37.18°</t>
  </si>
  <si>
    <t xml:space="preserve"> N41° 16.34'</t>
  </si>
  <si>
    <t xml:space="preserve"> W74° 49.44'</t>
  </si>
  <si>
    <t>Rt 521 North / River Rd (crossing Rt 206) NOT Deckertown Tpk</t>
  </si>
  <si>
    <t xml:space="preserve"> 125.24 mi</t>
  </si>
  <si>
    <t>(TFL at Rt 507) TRO Rt 6  (Lake Wallenpaupack)</t>
  </si>
  <si>
    <t xml:space="preserve"> (TFL) Rt 590 West / Purdytown{MiniMart FastFood Limited Services ahead}</t>
  </si>
  <si>
    <t xml:space="preserve"> 126.72 mi</t>
  </si>
  <si>
    <t>(TFL) Rt 590 West / Purdytown{MiniMart FastFood Limited Services ahead}</t>
  </si>
  <si>
    <t xml:space="preserve"> Owego Tpke / Rt 3028</t>
  </si>
  <si>
    <t xml:space="preserve"> 128.07 mi</t>
  </si>
  <si>
    <t>Owego Tpke / Rt 3028</t>
  </si>
  <si>
    <t xml:space="preserve"> 4.69 mi</t>
  </si>
  <si>
    <t xml:space="preserve"> 128.94 mi</t>
  </si>
  <si>
    <t xml:space="preserve"> 317.01°</t>
  </si>
  <si>
    <t xml:space="preserve"> (SS) Rt 191/ Lake Ariel Hwy</t>
  </si>
  <si>
    <t xml:space="preserve"> 1.04 mi</t>
  </si>
  <si>
    <t xml:space="preserve"> 133.64 mi</t>
  </si>
  <si>
    <t xml:space="preserve"> 264.86°</t>
  </si>
  <si>
    <t xml:space="preserve"> N41° 30.89'</t>
  </si>
  <si>
    <t xml:space="preserve"> 144.48 mi</t>
  </si>
  <si>
    <t xml:space="preserve"> Highest point on route (El. 2164') Caution on steep twisty descent</t>
  </si>
  <si>
    <t xml:space="preserve"> 146.11 mi</t>
  </si>
  <si>
    <t>Highest point on route (El. 2164') Caution on steep twisty descent</t>
  </si>
  <si>
    <t xml:space="preserve"> 148.74 mi</t>
  </si>
  <si>
    <t xml:space="preserve"> 150.92 mi</t>
  </si>
  <si>
    <t xml:space="preserve"> 151.71 mi</t>
  </si>
  <si>
    <t xml:space="preserve"> 152.08 mi</t>
  </si>
  <si>
    <t xml:space="preserve"> (SS) River St </t>
  </si>
  <si>
    <t xml:space="preserve"> 152.10 mi</t>
  </si>
  <si>
    <t xml:space="preserve">(SS) River St </t>
  </si>
  <si>
    <t xml:space="preserve"> (SS) Joining Rt 106 Caution: fast traffic on right does not stop </t>
  </si>
  <si>
    <t xml:space="preserve"> 152.14 mi</t>
  </si>
  <si>
    <t xml:space="preserve">(SS) Joining Rt 106 Caution: fast traffic on right does not stop </t>
  </si>
  <si>
    <t xml:space="preserve"> 152.39 mi</t>
  </si>
  <si>
    <t xml:space="preserve"> 152.64 mi</t>
  </si>
  <si>
    <t xml:space="preserve"> 155.54 mi</t>
  </si>
  <si>
    <t xml:space="preserve"> 157.47 mi</t>
  </si>
  <si>
    <t xml:space="preserve"> N40° 36.90'</t>
  </si>
  <si>
    <t xml:space="preserve"> W77° 19.82'</t>
  </si>
  <si>
    <t xml:space="preserve"> 0.59 mi</t>
  </si>
  <si>
    <t xml:space="preserve"> N40° 37.33'</t>
  </si>
  <si>
    <t xml:space="preserve"> W77° 19.63'</t>
  </si>
  <si>
    <t xml:space="preserve"> N40° 37.58'</t>
  </si>
  <si>
    <t xml:space="preserve"> W77° 19.03'</t>
  </si>
  <si>
    <t>Controle Exxon Acorn Jct Rt 414 / Minnequa Ave [Canton] {MiniMart}</t>
  </si>
  <si>
    <t xml:space="preserve"> Leave controle turning left on Main St / Rt 414 West</t>
  </si>
  <si>
    <t xml:space="preserve"> 98.47 mi</t>
  </si>
  <si>
    <t xml:space="preserve"> 274.97°</t>
  </si>
  <si>
    <t>Leave controle turning left on Main St / Rt 414 West</t>
  </si>
  <si>
    <t xml:space="preserve"> (TFL) TRO Rt 414 West  / Sullivan St</t>
  </si>
  <si>
    <t xml:space="preserve"> 98.48 mi</t>
  </si>
  <si>
    <t xml:space="preserve"> 241.65°</t>
  </si>
  <si>
    <t>(TFL) TRO Rt 414 West  / Sullivan St</t>
  </si>
  <si>
    <t xml:space="preserve"> TRO Rt 414 (Rt 14 continues straight) {MiniMart limited services ahead}</t>
  </si>
  <si>
    <t xml:space="preserve"> 1.53 mi</t>
  </si>
  <si>
    <t xml:space="preserve"> 98.61 mi</t>
  </si>
  <si>
    <t>TRO Rt 414 (Rt 14 continues straight) {MiniMart limited services ahead}</t>
  </si>
  <si>
    <t xml:space="preserve"> 3.33 mi</t>
  </si>
  <si>
    <t xml:space="preserve"> 100.14 mi</t>
  </si>
  <si>
    <t xml:space="preserve"> 262.49°</t>
  </si>
  <si>
    <t xml:space="preserve"> Ogdensburg Rd TRO Rt 414 CAUTION steep twisty descents ahead {Bar (water ice)}</t>
  </si>
  <si>
    <t xml:space="preserve"> 2.93 mi</t>
  </si>
  <si>
    <t xml:space="preserve"> 103.47 mi</t>
  </si>
  <si>
    <t xml:space="preserve"> 238.58°</t>
  </si>
  <si>
    <t xml:space="preserve"> N41° 38.01'</t>
  </si>
  <si>
    <t xml:space="preserve"> W76° 55.89'</t>
  </si>
  <si>
    <t>Ogdensburg Rd TRO Rt 414 CAUTION steep twisty descents ahead {Bar (water ice)}</t>
  </si>
  <si>
    <t xml:space="preserve"> FMR TRO Rt 414 at Old Mill Rd</t>
  </si>
  <si>
    <t xml:space="preserve"> 7.83 mi</t>
  </si>
  <si>
    <t xml:space="preserve"> 106.40 mi</t>
  </si>
  <si>
    <t>FMR TRO Rt 414 at Old Mill Rd</t>
  </si>
  <si>
    <t xml:space="preserve"> 114.24 mi</t>
  </si>
  <si>
    <t xml:space="preserve"> Blockhouse Rd [Liberty] (leaving Rt 414) {stores 1 block off-course left}</t>
  </si>
  <si>
    <t xml:space="preserve"> 114.63 mi</t>
  </si>
  <si>
    <t>Blockhouse Rd [Liberty] (leaving Rt 414) {stores 1 block off-course left}</t>
  </si>
  <si>
    <t xml:space="preserve"> 5.41 mi</t>
  </si>
  <si>
    <t xml:space="preserve"> 115.05 mi</t>
  </si>
  <si>
    <t xml:space="preserve"> 8.22 mi</t>
  </si>
  <si>
    <t xml:space="preserve"> 120.46 mi</t>
  </si>
  <si>
    <t xml:space="preserve"> Rt 4001 / Little Pine Creek Rd (follow Little Pine Creek State Park) {bar (water ice)}</t>
  </si>
  <si>
    <t xml:space="preserve"> 128.68 mi</t>
  </si>
  <si>
    <t>Rt 4001 / Little Pine Creek Rd (follow Little Pine Creek State Park) {bar (water ice)}</t>
  </si>
  <si>
    <t xml:space="preserve"> TRO Rt 4001 (Caution: metal bridge).."Little Pine Creek State Park"</t>
  </si>
  <si>
    <t xml:space="preserve"> 129.75 mi</t>
  </si>
  <si>
    <t>TRO Rt 4001 (Caution: metal bridge).."Little Pine Creek State Park"</t>
  </si>
  <si>
    <t xml:space="preserve"> Ice Cream cone Restaurant (on left at mile marker 70){Restaurant}</t>
  </si>
  <si>
    <t xml:space="preserve"> 8.55 mi</t>
  </si>
  <si>
    <t xml:space="preserve"> 130.20 mi</t>
  </si>
  <si>
    <t xml:space="preserve"> 211.78°</t>
  </si>
  <si>
    <t>Ice Cream cone Restaurant (on left at mile marker 70){Restaurant}</t>
  </si>
  <si>
    <t xml:space="preserve"> 138.75 mi</t>
  </si>
  <si>
    <t xml:space="preserve"> 177.83°</t>
  </si>
  <si>
    <t xml:space="preserve"> N41° 20.58'</t>
  </si>
  <si>
    <t xml:space="preserve"> W77° 21.89'</t>
  </si>
  <si>
    <t xml:space="preserve"> Controle McConnell's Country Store on left.."Citgo" {General store}</t>
  </si>
  <si>
    <t xml:space="preserve"> 141.38 mi</t>
  </si>
  <si>
    <t xml:space="preserve"> 268.75°</t>
  </si>
  <si>
    <t>Controle McConnell's Country Store on left.."Citgo" {General store}</t>
  </si>
  <si>
    <t xml:space="preserve"> Leave Parking Lot turning right on Rt 44 (reverse direction)</t>
  </si>
  <si>
    <t xml:space="preserve"> 141.52 mi</t>
  </si>
  <si>
    <t xml:space="preserve"> 185.71°</t>
  </si>
  <si>
    <t xml:space="preserve"> W77° 21.95'</t>
  </si>
  <si>
    <t>Leave Parking Lot turning right on Rt 44 (reverse direction)</t>
  </si>
  <si>
    <t xml:space="preserve"> Rt 220 overpass</t>
  </si>
  <si>
    <t xml:space="preserve"> 10.75 mi</t>
  </si>
  <si>
    <t xml:space="preserve"> 141.58 mi</t>
  </si>
  <si>
    <t xml:space="preserve"> 155.21°</t>
  </si>
  <si>
    <t xml:space="preserve"> N41° 18.53'</t>
  </si>
  <si>
    <t>Rt 220 overpass</t>
  </si>
  <si>
    <t xml:space="preserve"> (SS) Central Ave {Stores}</t>
  </si>
  <si>
    <t xml:space="preserve"> 152.33 mi</t>
  </si>
  <si>
    <t xml:space="preserve"> 162.63°</t>
  </si>
  <si>
    <t xml:space="preserve"> N41° 11.83'</t>
  </si>
  <si>
    <t xml:space="preserve"> W77° 17.84'</t>
  </si>
  <si>
    <t>(SS) Central Ave {Stores}</t>
  </si>
  <si>
    <t xml:space="preserve"> FMR TRO (unmarked) Central Ave.."To 150"..jct Rich St</t>
  </si>
  <si>
    <t xml:space="preserve"> 152.52 mi</t>
  </si>
  <si>
    <t xml:space="preserve"> 239.17°</t>
  </si>
  <si>
    <t xml:space="preserve"> N41° 11.67'</t>
  </si>
  <si>
    <t xml:space="preserve"> W77° 17.77'</t>
  </si>
  <si>
    <t>(SS) Rt 191/ Lake Ariel Hwy</t>
  </si>
  <si>
    <t xml:space="preserve"> Middle Creek Rd / Rt 3024 (on slight downhill)</t>
  </si>
  <si>
    <t xml:space="preserve"> 134.68 mi</t>
  </si>
  <si>
    <t xml:space="preserve"> 243.93°</t>
  </si>
  <si>
    <t xml:space="preserve"> N41° 30.81'</t>
  </si>
  <si>
    <t xml:space="preserve"> W75° 16.50'</t>
  </si>
  <si>
    <t>Middle Creek Rd / Rt 3024 (on slight downhill)</t>
  </si>
  <si>
    <t xml:space="preserve"> Old Gravity Rd on left (now on Tannery Rd / Rt 3024)</t>
  </si>
  <si>
    <t xml:space="preserve"> 3.57 mi</t>
  </si>
  <si>
    <t xml:space="preserve"> 135.30 mi</t>
  </si>
  <si>
    <t xml:space="preserve"> 259.33°</t>
  </si>
  <si>
    <t xml:space="preserve"> N41° 30.58'</t>
  </si>
  <si>
    <t xml:space="preserve"> W75° 17.15'</t>
  </si>
  <si>
    <t>Old Gravity Rd on left (now on Tannery Rd / Rt 3024)</t>
  </si>
  <si>
    <t xml:space="preserve"> (SS) Rt 296 / Gravity Rd</t>
  </si>
  <si>
    <t xml:space="preserve"> 3.09 mi</t>
  </si>
  <si>
    <t xml:space="preserve"> 138.88 mi</t>
  </si>
  <si>
    <t xml:space="preserve"> 238.41°</t>
  </si>
  <si>
    <t xml:space="preserve"> N41° 30.07'</t>
  </si>
  <si>
    <t xml:space="preserve"> W75° 20.74'</t>
  </si>
  <si>
    <t>(SS) Rt 296 / Gravity Rd</t>
  </si>
  <si>
    <t xml:space="preserve"> (SS) TRO Rt 296 North</t>
  </si>
  <si>
    <t xml:space="preserve"> 141.96 mi</t>
  </si>
  <si>
    <t xml:space="preserve"> 307.45°</t>
  </si>
  <si>
    <t xml:space="preserve"> N41° 28.83'</t>
  </si>
  <si>
    <t>(SS) TRO Rt 296 North</t>
  </si>
  <si>
    <t xml:space="preserve"> Cortez Rd (Saint Tikhons on right) ("Citgo" on left){MiniMart}</t>
  </si>
  <si>
    <t xml:space="preserve"> 1.81 mi</t>
  </si>
  <si>
    <t xml:space="preserve"> 142.31 mi</t>
  </si>
  <si>
    <t xml:space="preserve"> 330.25°</t>
  </si>
  <si>
    <t xml:space="preserve"> N41° 29.00'</t>
  </si>
  <si>
    <t xml:space="preserve"> W75° 23.73'</t>
  </si>
  <si>
    <t>New Milford city limit (road becomes 3-lane hwy)</t>
  </si>
  <si>
    <t xml:space="preserve"> 180.03 mi</t>
  </si>
  <si>
    <t xml:space="preserve"> (SS) Joining Main St / Rt 11 [Hallstead]</t>
  </si>
  <si>
    <t xml:space="preserve"> 180.84 mi</t>
  </si>
  <si>
    <t>(SS) Joining Main St / Rt 11 [Hallstead]</t>
  </si>
  <si>
    <t xml:space="preserve"> 184.88 mi</t>
  </si>
  <si>
    <t xml:space="preserve"> 185.62 mi</t>
  </si>
  <si>
    <t xml:space="preserve"> 185.89 mi</t>
  </si>
  <si>
    <t>Muller's Port Jervis Diner (845) 856-7978</t>
  </si>
  <si>
    <t>41 East Main St / Rt 6, Port Jervis, NY</t>
  </si>
  <si>
    <t>The Corner (845) 557-3321</t>
  </si>
  <si>
    <t>577 Rt 55, Eldred, NY</t>
  </si>
  <si>
    <t>Endless Mountains 1240K</t>
  </si>
  <si>
    <t>August 8, 2013</t>
  </si>
  <si>
    <t>LMR=Leaving Main Road, FMR=Follow Main Road</t>
  </si>
  <si>
    <t>Brackets=location name e.g. [Quakertown]</t>
  </si>
  <si>
    <t>Single quotes=spotting cue object e.g. 'silo on right'</t>
  </si>
  <si>
    <t>Double quotes=spotting cue sign e.g. "Quakertown 8"</t>
  </si>
  <si>
    <t>POI=Point of Interest</t>
  </si>
  <si>
    <t xml:space="preserve"> Leave controle turning right on Rt 11 South at TFL {Next controle is untimed info question}</t>
  </si>
  <si>
    <t>Leave controle turning right on Rt 11 South at TFL {Next controle is untimed info question}</t>
  </si>
  <si>
    <t xml:space="preserve"> Susquehanna River bridge TRO Rt 11</t>
  </si>
  <si>
    <t xml:space="preserve"> 193.24°</t>
  </si>
  <si>
    <t>Susquehanna River bridge TRO Rt 11</t>
  </si>
  <si>
    <t xml:space="preserve"> Susquehanna Ave (b/c Pine St)</t>
  </si>
  <si>
    <t xml:space="preserve"> 205.02°</t>
  </si>
  <si>
    <t xml:space="preserve"> N41° 57.85'</t>
  </si>
  <si>
    <t xml:space="preserve"> W75° 44.51'</t>
  </si>
  <si>
    <t>Susquehanna Ave (b/c Pine St)</t>
  </si>
  <si>
    <t xml:space="preserve"> Church St..Just after sharp left bend..b/c New York Ave / Rt 1033</t>
  </si>
  <si>
    <t xml:space="preserve"> 304.18°</t>
  </si>
  <si>
    <t xml:space="preserve"> N41° 57.78'</t>
  </si>
  <si>
    <t xml:space="preserve"> W75° 44.56'</t>
  </si>
  <si>
    <t>Church St..Just after sharp left bend..b/c New York Ave / Rt 1033</t>
  </si>
  <si>
    <t xml:space="preserve"> NY border.. b/c Rt 7A / Rt 7 / Conklin Ave</t>
  </si>
  <si>
    <t xml:space="preserve"> 2.67 mi</t>
  </si>
  <si>
    <t xml:space="preserve"> 336.00°</t>
  </si>
  <si>
    <t xml:space="preserve"> W75° 44.70'</t>
  </si>
  <si>
    <t>NY border.. b/c Rt 7A / Rt 7 / Conklin Ave</t>
  </si>
  <si>
    <t xml:space="preserve"> (TFL) Exchange St (on right) [Binghamton]</t>
  </si>
  <si>
    <t xml:space="preserve"> 11.72 mi</t>
  </si>
  <si>
    <t xml:space="preserve"> 3.17 mi</t>
  </si>
  <si>
    <t xml:space="preserve"> 312.07°</t>
  </si>
  <si>
    <t xml:space="preserve"> W75° 45.92'</t>
  </si>
  <si>
    <t>(TFL) Exchange St (on right) [Binghamton]</t>
  </si>
  <si>
    <t xml:space="preserve"> 14.89 mi</t>
  </si>
  <si>
    <t xml:space="preserve"> 260.19°</t>
  </si>
  <si>
    <t xml:space="preserve"> N42° 5.60'</t>
  </si>
  <si>
    <t xml:space="preserve"> W75° 54.44'</t>
  </si>
  <si>
    <t xml:space="preserve"> Left</t>
  </si>
  <si>
    <t xml:space="preserve"> (2nd TFL) Vestal Ave.."Bike 2" {MiniMart}</t>
  </si>
  <si>
    <t xml:space="preserve"> 15.24 mi</t>
  </si>
  <si>
    <t xml:space="preserve"> 166.80°</t>
  </si>
  <si>
    <t xml:space="preserve"> N42° 5.54'</t>
  </si>
  <si>
    <t xml:space="preserve"> W75° 54.85'</t>
  </si>
  <si>
    <t>(2nd TFL) Vestal Ave.."Bike 2" {MiniMart}</t>
  </si>
  <si>
    <t>Lewistown Country Inn &amp; Suites</t>
  </si>
  <si>
    <t xml:space="preserve"> 138.10°</t>
  </si>
  <si>
    <t xml:space="preserve"> W76° 53.32'</t>
  </si>
  <si>
    <t xml:space="preserve"> 183.99°</t>
  </si>
  <si>
    <t xml:space="preserve"> W76° 53.28'</t>
  </si>
  <si>
    <t xml:space="preserve"> 126.92°</t>
  </si>
  <si>
    <t xml:space="preserve"> W76° 53.29'</t>
  </si>
  <si>
    <t xml:space="preserve"> N Water St</t>
  </si>
  <si>
    <t xml:space="preserve"> 177.18°</t>
  </si>
  <si>
    <t xml:space="preserve"> N40° 58.76'</t>
  </si>
  <si>
    <t xml:space="preserve"> W76° 53.12'</t>
  </si>
  <si>
    <t>N Water St</t>
  </si>
  <si>
    <t xml:space="preserve"> Market St / Rt 45</t>
  </si>
  <si>
    <t xml:space="preserve"> 1.16 mi</t>
  </si>
  <si>
    <t xml:space="preserve"> 144.06°</t>
  </si>
  <si>
    <t xml:space="preserve"> N40° 58.18'</t>
  </si>
  <si>
    <t xml:space="preserve"> W76° 53.08'</t>
  </si>
  <si>
    <t>Market St / Rt 45</t>
  </si>
  <si>
    <t xml:space="preserve"> Susquehanna River bridge</t>
  </si>
  <si>
    <t xml:space="preserve"> 52.89°</t>
  </si>
  <si>
    <t xml:space="preserve"> W76° 52.88'</t>
  </si>
  <si>
    <t>Susquehanna River bridge</t>
  </si>
  <si>
    <t xml:space="preserve"> W76° 52.84'</t>
  </si>
  <si>
    <t xml:space="preserve"> Rt 147 South</t>
  </si>
  <si>
    <t xml:space="preserve"> N40° 58.05'</t>
  </si>
  <si>
    <t>Rt 147 South</t>
  </si>
  <si>
    <t xml:space="preserve"> 139.99°</t>
  </si>
  <si>
    <t xml:space="preserve"> N40° 56.24'</t>
  </si>
  <si>
    <t xml:space="preserve"> W76° 51.05'</t>
  </si>
  <si>
    <t xml:space="preserve"> (TFL) TRO Rt 147 / King St</t>
  </si>
  <si>
    <t xml:space="preserve"> 41.99°</t>
  </si>
  <si>
    <t xml:space="preserve"> N40° 53.23'</t>
  </si>
  <si>
    <t xml:space="preserve"> W76° 47.70'</t>
  </si>
  <si>
    <t>(TFL) TRO Rt 147 / King St</t>
  </si>
  <si>
    <t xml:space="preserve"> 151.37°</t>
  </si>
  <si>
    <t xml:space="preserve"> N40° 53.33'</t>
  </si>
  <si>
    <t xml:space="preserve"> W76° 47.58'</t>
  </si>
  <si>
    <t xml:space="preserve"> TRO Rt 147 [Sunbury]</t>
  </si>
  <si>
    <t xml:space="preserve"> 2.40 mi</t>
  </si>
  <si>
    <t xml:space="preserve"> 202.47°</t>
  </si>
  <si>
    <t xml:space="preserve"> N40° 52.74'</t>
  </si>
  <si>
    <t xml:space="preserve"> W76° 47.15'</t>
  </si>
  <si>
    <t>TRO Rt 147 [Sunbury]</t>
  </si>
  <si>
    <t xml:space="preserve"> 13.55 mi</t>
  </si>
  <si>
    <t xml:space="preserve"> 187.19°</t>
  </si>
  <si>
    <t xml:space="preserve"> N40° 50.89'</t>
  </si>
  <si>
    <t xml:space="preserve"> W76° 48.17'</t>
  </si>
  <si>
    <t xml:space="preserve"> Leave driveway turning left on Rt 225 North (same direction)</t>
  </si>
  <si>
    <t xml:space="preserve"> 167.85°</t>
  </si>
  <si>
    <t xml:space="preserve"> W76° 49.79'</t>
  </si>
  <si>
    <t>Leave driveway turning left on Rt 225 North (same direction)</t>
  </si>
  <si>
    <t xml:space="preserve"> Controle Herdon Sunoco A-Plus</t>
  </si>
  <si>
    <t xml:space="preserve"> 170.38°</t>
  </si>
  <si>
    <t xml:space="preserve"> N40° 41.15'</t>
  </si>
  <si>
    <t xml:space="preserve"> W76° 49.78'</t>
  </si>
  <si>
    <t>Lewisburg_Rt225_A.csv</t>
  </si>
  <si>
    <t>Pine Grove Mills Shellmore info?</t>
  </si>
  <si>
    <t>103 Water Street</t>
  </si>
  <si>
    <t>Pine Grove Mills, PA 16868</t>
  </si>
  <si>
    <t>(814) 238-9090</t>
  </si>
  <si>
    <t xml:space="preserve"> 2.14 mi</t>
  </si>
  <si>
    <t>Pine Grove Mills Shellmore (814) 238-9090</t>
  </si>
  <si>
    <t>103 Water Street, Pine Grove Mills, PA</t>
  </si>
  <si>
    <t>Sunoco A-Plus (570) 758-9107</t>
  </si>
  <si>
    <t>Rts 147 and 225, Herndon, PA</t>
  </si>
  <si>
    <t>US Post Officemore info?</t>
  </si>
  <si>
    <t>475 Main Street</t>
  </si>
  <si>
    <t>Virginville, PA 19564</t>
  </si>
  <si>
    <t>(610) 562-5577</t>
  </si>
  <si>
    <t>Joining Rt 225 north</t>
  </si>
  <si>
    <t xml:space="preserve"> (SS) TRO Rt 225 North</t>
  </si>
  <si>
    <t xml:space="preserve"> 127.37°</t>
  </si>
  <si>
    <t xml:space="preserve"> N40° 41.27'</t>
  </si>
  <si>
    <t>(SS) TRO Rt 225 North</t>
  </si>
  <si>
    <t xml:space="preserve"> 2.22 mi</t>
  </si>
  <si>
    <t xml:space="preserve"> 74.37°</t>
  </si>
  <si>
    <t xml:space="preserve"> N40° 41.20'</t>
  </si>
  <si>
    <t xml:space="preserve"> W76° 49.65'</t>
  </si>
  <si>
    <t xml:space="preserve"> FMR TRO (unmarked) Rt 3003..follow double yellow lines...Jct Urban School House Rd</t>
  </si>
  <si>
    <t xml:space="preserve"> 2.35 mi</t>
  </si>
  <si>
    <t xml:space="preserve"> 124.73°</t>
  </si>
  <si>
    <t xml:space="preserve"> N40° 41.69'</t>
  </si>
  <si>
    <t xml:space="preserve"> W76° 47.34'</t>
  </si>
  <si>
    <t>FMR TRO (unmarked) Rt 3003..follow double yellow lines...Jct Urban School House Rd</t>
  </si>
  <si>
    <t xml:space="preserve"> Joining Rt 3016 (which also goes right here).."Klingerstown 6"</t>
  </si>
  <si>
    <t xml:space="preserve"> 3.61 mi</t>
  </si>
  <si>
    <t xml:space="preserve"> Quakertown Hampton Inn</t>
  </si>
  <si>
    <t xml:space="preserve"> 24.98 mi</t>
  </si>
  <si>
    <t xml:space="preserve"> 20.86°</t>
  </si>
  <si>
    <t xml:space="preserve"> W75° 25.00'</t>
  </si>
  <si>
    <t>Hampton Inn Quakertown (215) 536-7779</t>
  </si>
  <si>
    <t>1915 John Fries Hwy / Rt 663, Quakertown, PA</t>
  </si>
  <si>
    <t>Hampton Inn Pine Grove (570) 345-4505</t>
  </si>
  <si>
    <t xml:space="preserve"> (TFL) Merging with Rt 434 West.."Bike 2" {Stores}</t>
  </si>
  <si>
    <t xml:space="preserve"> 15.41 mi</t>
  </si>
  <si>
    <t xml:space="preserve"> 275.09°</t>
  </si>
  <si>
    <t xml:space="preserve"> N42° 5.40'</t>
  </si>
  <si>
    <t xml:space="preserve"> W75° 54.80'</t>
  </si>
  <si>
    <t>(TFL) Merging with Rt 434 West.."Bike 2" {Stores}</t>
  </si>
  <si>
    <t xml:space="preserve"> Vestal Road / Rt 44.."Bike 2"</t>
  </si>
  <si>
    <t xml:space="preserve"> 17.30 mi</t>
  </si>
  <si>
    <t xml:space="preserve"> 289.95°</t>
  </si>
  <si>
    <t xml:space="preserve"> N42° 5.53'</t>
  </si>
  <si>
    <t xml:space="preserve"> W75° 56.78'</t>
  </si>
  <si>
    <t>Vestal Road / Rt 44.."Bike 2"</t>
  </si>
  <si>
    <t xml:space="preserve"> Rt 4013 / Schwenks Rd..just past "Traci's Place" (closed on Sunday)</t>
  </si>
  <si>
    <t xml:space="preserve"> 15.52 mi</t>
  </si>
  <si>
    <t xml:space="preserve"> 78.92°</t>
  </si>
  <si>
    <t xml:space="preserve"> N40° 38.04'</t>
  </si>
  <si>
    <t xml:space="preserve"> W76° 35.67'</t>
  </si>
  <si>
    <t>Rt 4013 / Schwenks Rd..just past "Traci's Place" (closed on Sunday)</t>
  </si>
  <si>
    <t xml:space="preserve"> *** BR</t>
  </si>
  <si>
    <t xml:space="preserve"> 16.24 mi</t>
  </si>
  <si>
    <t xml:space="preserve"> (SS) Main St (Rt 125 goes straight) [Good Springs]</t>
  </si>
  <si>
    <t xml:space="preserve"> 21.41 mi</t>
  </si>
  <si>
    <t>(SS) Main St (Rt 125 goes straight) [Good Springs]</t>
  </si>
  <si>
    <t xml:space="preserve"> RR Tracks (Caution: Bad angle - WALK BIKE)</t>
  </si>
  <si>
    <t xml:space="preserve"> 22.15 mi</t>
  </si>
  <si>
    <t xml:space="preserve"> 163.67°</t>
  </si>
  <si>
    <t>RR Tracks (Caution: Bad angle - WALK BIKE)</t>
  </si>
  <si>
    <t xml:space="preserve"> (SS) Rt 209</t>
  </si>
  <si>
    <t xml:space="preserve"> 2.08 mi</t>
  </si>
  <si>
    <t xml:space="preserve"> 22.26 mi</t>
  </si>
  <si>
    <t xml:space="preserve"> 117.58°</t>
  </si>
  <si>
    <t xml:space="preserve"> N40° 37.39'</t>
  </si>
  <si>
    <t xml:space="preserve"> W76° 29.06'</t>
  </si>
  <si>
    <t>(SS) Rt 209</t>
  </si>
  <si>
    <t xml:space="preserve"> TRO Main St (b/c Molleystown Rd)</t>
  </si>
  <si>
    <t xml:space="preserve"> 24.34 mi</t>
  </si>
  <si>
    <t xml:space="preserve"> 110.14°</t>
  </si>
  <si>
    <t xml:space="preserve"> N40° 36.69'</t>
  </si>
  <si>
    <t xml:space="preserve"> W76° 27.31'</t>
  </si>
  <si>
    <t>TRO Main St (b/c Molleystown Rd)</t>
  </si>
  <si>
    <t xml:space="preserve"> 'Top of Climb'..steep descents..stay on Molleystown Rd..FMR to bottom</t>
  </si>
  <si>
    <t xml:space="preserve"> 24.40 mi</t>
  </si>
  <si>
    <t xml:space="preserve"> 120.10°</t>
  </si>
  <si>
    <t xml:space="preserve"> N40° 36.68'</t>
  </si>
  <si>
    <t xml:space="preserve"> W76° 27.24'</t>
  </si>
  <si>
    <t>'Top of Climb'..steep descents..stay on Molleystown Rd..FMR to bottom</t>
  </si>
  <si>
    <t xml:space="preserve"> Rt 125 {MiniMart just before turn}</t>
  </si>
  <si>
    <t xml:space="preserve"> 3.50 mi</t>
  </si>
  <si>
    <t xml:space="preserve"> 24.97 mi</t>
  </si>
  <si>
    <t xml:space="preserve"> 121.64°</t>
  </si>
  <si>
    <t xml:space="preserve"> N40° 36.43'</t>
  </si>
  <si>
    <t xml:space="preserve"> W76° 26.69'</t>
  </si>
  <si>
    <t>Rt 125 {MiniMart just before turn}</t>
  </si>
  <si>
    <t xml:space="preserve"> Joining Rt 443 [Pine Grove] {MiniMart Restaurant}</t>
  </si>
  <si>
    <t xml:space="preserve"> 2.98 mi</t>
  </si>
  <si>
    <t xml:space="preserve"> 28.47 mi</t>
  </si>
  <si>
    <t xml:space="preserve"> 156.63°</t>
  </si>
  <si>
    <t xml:space="preserve"> N40° 35.39'</t>
  </si>
  <si>
    <t xml:space="preserve"> W76° 24.45'</t>
  </si>
  <si>
    <t>Joining Rt 443 [Pine Grove] {MiniMart Restaurant}</t>
  </si>
  <si>
    <t xml:space="preserve"> Rt 645</t>
  </si>
  <si>
    <t xml:space="preserve"> 31.45 mi</t>
  </si>
  <si>
    <t xml:space="preserve"> N40° 33.13'</t>
  </si>
  <si>
    <t xml:space="preserve"> W76° 23.17'</t>
  </si>
  <si>
    <t>Rt 645</t>
  </si>
  <si>
    <t xml:space="preserve"> Applachian Trail Caution: Steep twisty descent ahead</t>
  </si>
  <si>
    <t xml:space="preserve"> W76° 23.18'</t>
  </si>
  <si>
    <t>Applachian Trail Caution: Steep twisty descent ahead</t>
  </si>
  <si>
    <t xml:space="preserve"> TRO Rt 645</t>
  </si>
  <si>
    <t xml:space="preserve"> 223.34°</t>
  </si>
  <si>
    <t xml:space="preserve"> N40° 30.39'</t>
  </si>
  <si>
    <t xml:space="preserve"> W76° 22.62'</t>
  </si>
  <si>
    <t>TRO Rt 645</t>
  </si>
  <si>
    <t xml:space="preserve"> Controle Flying-J Truck Stop (on right) {Truck Stop Restaurant}</t>
  </si>
  <si>
    <t xml:space="preserve"> 134.51°</t>
  </si>
  <si>
    <t xml:space="preserve"> N40° 29.98'</t>
  </si>
  <si>
    <t>Controle Flying-J Truck Stop (on right) {Truck Stop Restaurant}</t>
  </si>
  <si>
    <t xml:space="preserve"> Leave driveway turning right on Rt 645 (same direction)</t>
  </si>
  <si>
    <t xml:space="preserve"> 90.00°</t>
  </si>
  <si>
    <t xml:space="preserve"> N40° 27.91'</t>
  </si>
  <si>
    <t xml:space="preserve"> W76° 20.35'</t>
  </si>
  <si>
    <t>Leave driveway turning right on Rt 645 (same direction)</t>
  </si>
  <si>
    <t xml:space="preserve"> (TFL) Frystown Rd</t>
  </si>
  <si>
    <t xml:space="preserve"> 1.07 mi</t>
  </si>
  <si>
    <t xml:space="preserve"> 167.99°</t>
  </si>
  <si>
    <t xml:space="preserve"> W76° 20.33'</t>
  </si>
  <si>
    <t xml:space="preserve"> 46.90 mi</t>
  </si>
  <si>
    <t xml:space="preserve"> 256.23°</t>
  </si>
  <si>
    <t xml:space="preserve"> N42° 1.45'</t>
  </si>
  <si>
    <t xml:space="preserve"> W76° 22.97'</t>
  </si>
  <si>
    <t xml:space="preserve">Rt 17 underpass..b/c Riverside Dr / Rt 1043 </t>
  </si>
  <si>
    <t xml:space="preserve"> (SS) Rt 1056 TRO Rt 1043 / Sheshequin Rd.."Bike J"</t>
  </si>
  <si>
    <t xml:space="preserve"> 4.99 mi</t>
  </si>
  <si>
    <t xml:space="preserve"> 52.11 mi</t>
  </si>
  <si>
    <t xml:space="preserve"> 214.44°</t>
  </si>
  <si>
    <t xml:space="preserve"> W76° 27.55'</t>
  </si>
  <si>
    <t xml:space="preserve"> 57.10 mi</t>
  </si>
  <si>
    <t xml:space="preserve"> Controle Dandy Gas N' Go (jct James St  / Reuter Blvd {MiniMart}</t>
  </si>
  <si>
    <t xml:space="preserve"> 70.16 mi</t>
  </si>
  <si>
    <t>Controle Dandy Gas N' Go (jct James St  / Reuter Blvd {MiniMart}</t>
  </si>
  <si>
    <t xml:space="preserve"> Leave parking lot turning left on Reuter Blvd (exit near gas pumps)</t>
  </si>
  <si>
    <t xml:space="preserve"> 70.87 mi</t>
  </si>
  <si>
    <t xml:space="preserve"> 232.01°</t>
  </si>
  <si>
    <t>Leave parking lot turning left on Reuter Blvd (exit near gas pumps)</t>
  </si>
  <si>
    <t xml:space="preserve"> (TFL) (John B) Merrill Pkwy</t>
  </si>
  <si>
    <t xml:space="preserve"> 70.89 mi</t>
  </si>
  <si>
    <t xml:space="preserve"> 142.43°</t>
  </si>
  <si>
    <t xml:space="preserve"> N41° 47.17'</t>
  </si>
  <si>
    <t xml:space="preserve"> W76° 27.22'</t>
  </si>
  <si>
    <t>(TFL) (John B) Merrill Pkwy</t>
  </si>
  <si>
    <t xml:space="preserve"> QL</t>
  </si>
  <si>
    <t xml:space="preserve"> State St (before RR crossing..."Flying Cow" bakery on right) {Bakery Cafe}</t>
  </si>
  <si>
    <t xml:space="preserve"> 71.03 mi</t>
  </si>
  <si>
    <t xml:space="preserve"> 154.94°</t>
  </si>
  <si>
    <t xml:space="preserve"> N41° 47.07'</t>
  </si>
  <si>
    <t xml:space="preserve"> W76° 27.11'</t>
  </si>
  <si>
    <t>State St (before RR crossing..."Flying Cow" bakery on right) {Bakery Cafe}</t>
  </si>
  <si>
    <t xml:space="preserve"> (SS) Main St / Rt 6</t>
  </si>
  <si>
    <t xml:space="preserve"> 72.52 mi</t>
  </si>
  <si>
    <t xml:space="preserve"> 256.24°</t>
  </si>
  <si>
    <t xml:space="preserve"> N41° 46.11'</t>
  </si>
  <si>
    <t>(SS) Main St / Rt 6</t>
  </si>
  <si>
    <t xml:space="preserve"> (TFL) Joining Rt 2027 / Main St  (leaving Rt 6) {MiniMart}</t>
  </si>
  <si>
    <t xml:space="preserve"> Irish Creek Rd / Rt 4022</t>
  </si>
  <si>
    <t xml:space="preserve"> 358.74°</t>
  </si>
  <si>
    <t xml:space="preserve"> N40° 26.29'</t>
  </si>
  <si>
    <t xml:space="preserve"> W76° 7.07'</t>
  </si>
  <si>
    <t xml:space="preserve"> Airport Rd / Rt 2007</t>
  </si>
  <si>
    <t>Airport Rd / Rt 2007</t>
  </si>
  <si>
    <t xml:space="preserve"> TRO Airport Rd / Rt 2007</t>
  </si>
  <si>
    <t xml:space="preserve"> 189.91°</t>
  </si>
  <si>
    <t>TRO Airport Rd / Rt 2007</t>
  </si>
  <si>
    <t xml:space="preserve"> (SS) Buffalo Rd / Rt 192</t>
  </si>
  <si>
    <t xml:space="preserve"> 1.60 mi</t>
  </si>
  <si>
    <t xml:space="preserve"> 175.53°</t>
  </si>
  <si>
    <t xml:space="preserve"> N40° 58.25'</t>
  </si>
  <si>
    <t xml:space="preserve"> W76° 54.20'</t>
  </si>
  <si>
    <t>(SS) Buffalo Rd / Rt 192</t>
  </si>
  <si>
    <t xml:space="preserve"> (SS) (unmarked) Dreisbach Church Rd / Rt 2003 (b/c New Berlin Mountain Rd)</t>
  </si>
  <si>
    <t>(SS) (unmarked) Dreisbach Church Rd / Rt 2003 (b/c New Berlin Mountain Rd)</t>
  </si>
  <si>
    <t xml:space="preserve"> (SS) Rt 304 (now on Vine St / Rt 2003) [New Berlin] {Pizzeria}</t>
  </si>
  <si>
    <t xml:space="preserve"> (SS) (unmarked) New Berlin Hwy / Rt 1005 ..Jct Rt 204</t>
  </si>
  <si>
    <t>(SS) (unmarked) New Berlin Hwy / Rt 1005 ..Jct Rt 204</t>
  </si>
  <si>
    <t xml:space="preserve"> (SS) Rt 104 / E. Main St</t>
  </si>
  <si>
    <t>(SS) Rt 104 / E. Main St</t>
  </si>
  <si>
    <t xml:space="preserve"> TRO Rt 104 (Rt 522 continues straight) (limited services ahead) {MiniMart}</t>
  </si>
  <si>
    <t>TRO Rt 104 (Rt 522 continues straight) (limited services ahead) {MiniMart}</t>
  </si>
  <si>
    <t xml:space="preserve"> Heister Valley Rd / Rt 3006 after climb look for mulch bins on left {cafe off-course ahead Jct 35}</t>
  </si>
  <si>
    <t>Heister Valley Rd / Rt 3006 after climb look for mulch bins on left {cafe off-course ahead Jct 35}</t>
  </si>
  <si>
    <t xml:space="preserve"> (SS) (unmarked) TRO Mountain Rd / Rt 3006 (Middle Rd goes left here)</t>
  </si>
  <si>
    <t xml:space="preserve"> 29.74 mi</t>
  </si>
  <si>
    <t>(SS) (unmarked) TRO Mountain Rd / Rt 3006 (Middle Rd goes left here)</t>
  </si>
  <si>
    <t xml:space="preserve"> TRO Mountain Rd</t>
  </si>
  <si>
    <t>TRO Mountain Rd</t>
  </si>
  <si>
    <t xml:space="preserve"> (unmarked) Red Bank Rd ("Vineland Kosher" on left)</t>
  </si>
  <si>
    <t>(unmarked) Red Bank Rd ("Vineland Kosher" on left)</t>
  </si>
  <si>
    <t xml:space="preserve"> TRO Red Bank Rd  (Apple Rd goes left)</t>
  </si>
  <si>
    <t xml:space="preserve"> 34.23 mi</t>
  </si>
  <si>
    <t>TRO Red Bank Rd  (Apple Rd goes left)</t>
  </si>
  <si>
    <t xml:space="preserve"> 34.83 mi</t>
  </si>
  <si>
    <t xml:space="preserve"> 36.74 mi</t>
  </si>
  <si>
    <t xml:space="preserve"> 39.73 mi</t>
  </si>
  <si>
    <t xml:space="preserve"> 41.24 mi</t>
  </si>
  <si>
    <t xml:space="preserve"> 42.42 mi</t>
  </si>
  <si>
    <t xml:space="preserve"> Rt 35 / Washington Ave "Country Side Market" on right</t>
  </si>
  <si>
    <t xml:space="preserve"> 43.57 mi</t>
  </si>
  <si>
    <t>Rt 35 / Washington Ave "Country Side Market" on right</t>
  </si>
  <si>
    <t xml:space="preserve"> Controle Mifflintown Plaza on left (Tom's mini mart in plaza) {MiniMart Restaurant FastFood Hotel}</t>
  </si>
  <si>
    <t xml:space="preserve"> 3.05 mi</t>
  </si>
  <si>
    <t xml:space="preserve"> 107.06°</t>
  </si>
  <si>
    <t xml:space="preserve"> N40° 31.48'</t>
  </si>
  <si>
    <t xml:space="preserve"> W75° 51.33'</t>
  </si>
  <si>
    <t>TRO Crystal Cave Rd / Rt 1006 (Jct Crystal Ridge Rd 2nd time)</t>
  </si>
  <si>
    <t xml:space="preserve"> Sharadin Rd</t>
  </si>
  <si>
    <t xml:space="preserve"> 120.54°</t>
  </si>
  <si>
    <t xml:space="preserve"> N40° 30.98'</t>
  </si>
  <si>
    <t xml:space="preserve"> W75° 49.21'</t>
  </si>
  <si>
    <t>Sharadin Rd</t>
  </si>
  <si>
    <t xml:space="preserve"> (SS) Kuztown Rd {Stores off-course left}</t>
  </si>
  <si>
    <t xml:space="preserve"> 118.72°</t>
  </si>
  <si>
    <t xml:space="preserve"> N40° 30.69'</t>
  </si>
  <si>
    <t xml:space="preserve"> W75° 48.56'</t>
  </si>
  <si>
    <t>(SS) Kuztown Rd {Stores off-course left}</t>
  </si>
  <si>
    <t xml:space="preserve"> Baldy Rd</t>
  </si>
  <si>
    <t xml:space="preserve"> 169.65°</t>
  </si>
  <si>
    <t xml:space="preserve"> W75° 47.54'</t>
  </si>
  <si>
    <t>Baldy Rd</t>
  </si>
  <si>
    <t xml:space="preserve"> TRO Baldy Rd (Jct Short Ln)</t>
  </si>
  <si>
    <t xml:space="preserve"> 204.68°</t>
  </si>
  <si>
    <t xml:space="preserve"> N40° 29.35'</t>
  </si>
  <si>
    <t xml:space="preserve"> W75° 47.32'</t>
  </si>
  <si>
    <t>TRO Baldy Rd (Jct Short Ln)</t>
  </si>
  <si>
    <t xml:space="preserve"> 0.67 mi</t>
  </si>
  <si>
    <t xml:space="preserve"> 156.26°</t>
  </si>
  <si>
    <t xml:space="preserve"> N40° 29.08'</t>
  </si>
  <si>
    <t xml:space="preserve"> W75° 47.48'</t>
  </si>
  <si>
    <t xml:space="preserve"> Deka Rd {General Store}</t>
  </si>
  <si>
    <t xml:space="preserve"> 73.76°</t>
  </si>
  <si>
    <t xml:space="preserve"> N40° 28.55'</t>
  </si>
  <si>
    <t xml:space="preserve"> 2nd 'river bridge'..now on E Water St</t>
  </si>
  <si>
    <t xml:space="preserve"> 4.80 mi</t>
  </si>
  <si>
    <t xml:space="preserve"> 155.35 mi</t>
  </si>
  <si>
    <t xml:space="preserve"> 233.22°</t>
  </si>
  <si>
    <t xml:space="preserve"> N41° 10.73'</t>
  </si>
  <si>
    <t xml:space="preserve"> W77° 20.64'</t>
  </si>
  <si>
    <t>2nd 'river bridge'..now on E Water St</t>
  </si>
  <si>
    <t xml:space="preserve"> (SS) Jay St TRO Water St / 120 West [Lock Haven] {Hotel and many services off-course left}</t>
  </si>
  <si>
    <t xml:space="preserve"> 1.42 mi</t>
  </si>
  <si>
    <t xml:space="preserve"> 160.14 mi</t>
  </si>
  <si>
    <t xml:space="preserve"> 267.94°</t>
  </si>
  <si>
    <t xml:space="preserve"> N41° 8.32'</t>
  </si>
  <si>
    <t xml:space="preserve"> W77° 24.92'</t>
  </si>
  <si>
    <t>(SS) Jay St TRO Water St / 120 West [Lock Haven] {Hotel and many services off-course left}</t>
  </si>
  <si>
    <t xml:space="preserve"> (TFL) TRO Rt 120 / Susquehanna Ave</t>
  </si>
  <si>
    <t xml:space="preserve"> 161.57 mi</t>
  </si>
  <si>
    <t>(TFL) TRO Rt 120 / Susquehanna Ave</t>
  </si>
  <si>
    <t xml:space="preserve"> Hill St / Lusk Run Rd / Rt 2020..'gas station' on left</t>
  </si>
  <si>
    <t xml:space="preserve"> 162.62 mi</t>
  </si>
  <si>
    <t>Hill St / Lusk Run Rd / Rt 2020..'gas station' on left</t>
  </si>
  <si>
    <t xml:space="preserve"> (TFL) Rt 150 North</t>
  </si>
  <si>
    <t xml:space="preserve"> 163.01 mi</t>
  </si>
  <si>
    <t>(TFL) Rt 150 North</t>
  </si>
  <si>
    <t xml:space="preserve"> 166.50 mi</t>
  </si>
  <si>
    <t xml:space="preserve"> Rt 64 / Water St [Mill Hall] {stores}</t>
  </si>
  <si>
    <t xml:space="preserve"> 166.79 mi</t>
  </si>
  <si>
    <t>Rt 64 / Water St [Mill Hall] {stores}</t>
  </si>
  <si>
    <t xml:space="preserve"> 167.40 mi</t>
  </si>
  <si>
    <t xml:space="preserve"> 167.64 mi</t>
  </si>
  <si>
    <t xml:space="preserve"> TRO Jacksonville Rt (Jct. Peach Orchard Rd)</t>
  </si>
  <si>
    <t xml:space="preserve"> 169.61 mi</t>
  </si>
  <si>
    <t>TRO Jacksonville Rt (Jct. Peach Orchard Rd)</t>
  </si>
  <si>
    <t xml:space="preserve"> Dotterers Rd.."Lamar 3"...on downhill</t>
  </si>
  <si>
    <t xml:space="preserve"> 2.82 mi</t>
  </si>
  <si>
    <t xml:space="preserve"> 172.32 mi</t>
  </si>
  <si>
    <t xml:space="preserve"> 235.58°</t>
  </si>
  <si>
    <t xml:space="preserve">  323mi    open: 08/08 20:08</t>
  </si>
  <si>
    <t xml:space="preserve">          close: 08/09 14:40</t>
  </si>
  <si>
    <t xml:space="preserve">  403mi    open: 08/09 00:33</t>
  </si>
  <si>
    <t xml:space="preserve">          close: 08/10 00:17</t>
  </si>
  <si>
    <t xml:space="preserve">  494mi    open: 08/09 05:46</t>
  </si>
  <si>
    <t xml:space="preserve">          close: 08/10 13:04</t>
  </si>
  <si>
    <t xml:space="preserve">  534mi    open: 08/09 08:03</t>
  </si>
  <si>
    <t xml:space="preserve">          close: 08/10 18:40</t>
  </si>
  <si>
    <t xml:space="preserve">  572mi    open: 08/09 10:16</t>
  </si>
  <si>
    <t xml:space="preserve">          close: 08/11 00:05</t>
  </si>
  <si>
    <t xml:space="preserve">  600mi    open: 08/09 11:52</t>
  </si>
  <si>
    <t xml:space="preserve">          close: 08/11 04:02</t>
  </si>
  <si>
    <t xml:space="preserve">  633mi    open: 08/09 13:49</t>
  </si>
  <si>
    <t xml:space="preserve">          close: 08/11 08:26</t>
  </si>
  <si>
    <t xml:space="preserve">  659mi    open: 08/09 15:26</t>
  </si>
  <si>
    <t xml:space="preserve">          close: 08/11 11:35</t>
  </si>
  <si>
    <t xml:space="preserve">  699mi    open: 08/09 17:54</t>
  </si>
  <si>
    <t xml:space="preserve">          close: 08/11 16:23</t>
  </si>
  <si>
    <t xml:space="preserve"> Rt 248 / Lehigh Dr</t>
  </si>
  <si>
    <t xml:space="preserve"> 2.64 mi</t>
  </si>
  <si>
    <t xml:space="preserve"> 336.06°</t>
  </si>
  <si>
    <t xml:space="preserve"> N40° 43.13'</t>
  </si>
  <si>
    <t>Time Limit 93:00 hours</t>
  </si>
  <si>
    <t xml:space="preserve"> 0.36 mi</t>
  </si>
  <si>
    <t xml:space="preserve"> N40° 26.10'</t>
  </si>
  <si>
    <t xml:space="preserve"> N40° 26.13'</t>
  </si>
  <si>
    <t xml:space="preserve"> W75° 24.59'</t>
  </si>
  <si>
    <t xml:space="preserve"> 5.70 mi</t>
  </si>
  <si>
    <t xml:space="preserve"> 3.49°</t>
  </si>
  <si>
    <t xml:space="preserve"> N40° 26.23'</t>
  </si>
  <si>
    <t xml:space="preserve"> W75° 23.94'</t>
  </si>
  <si>
    <t xml:space="preserve"> N40° 30.29'</t>
  </si>
  <si>
    <t xml:space="preserve"> W75° 23.62'</t>
  </si>
  <si>
    <t xml:space="preserve">Bethel Church Rd (SS) Just before Rt 724 Jct (TFL on left) </t>
  </si>
  <si>
    <t xml:space="preserve"> Parker Ford Bethel Church Rd SS</t>
  </si>
  <si>
    <t xml:space="preserve"> 195.85°</t>
  </si>
  <si>
    <t xml:space="preserve"> 3.64 mi</t>
  </si>
  <si>
    <t xml:space="preserve"> 137.34°</t>
  </si>
  <si>
    <t xml:space="preserve"> 16.44 mi</t>
  </si>
  <si>
    <t xml:space="preserve"> 18.29 mi</t>
  </si>
  <si>
    <t xml:space="preserve"> 18.93 mi</t>
  </si>
  <si>
    <t xml:space="preserve"> 27.77 mi</t>
  </si>
  <si>
    <t xml:space="preserve"> 29.55 mi</t>
  </si>
  <si>
    <t xml:space="preserve"> 29.70 mi</t>
  </si>
  <si>
    <t xml:space="preserve"> 30.18 mi</t>
  </si>
  <si>
    <t xml:space="preserve"> 34.56 mi</t>
  </si>
  <si>
    <t xml:space="preserve"> 39.94 mi</t>
  </si>
  <si>
    <t xml:space="preserve"> 40.47 mi</t>
  </si>
  <si>
    <t xml:space="preserve"> 46.48 mi</t>
  </si>
  <si>
    <t xml:space="preserve"> 46.89 mi</t>
  </si>
  <si>
    <t xml:space="preserve"> 48.87 mi</t>
  </si>
  <si>
    <t xml:space="preserve"> 49.10 mi</t>
  </si>
  <si>
    <t xml:space="preserve"> 54.26 mi</t>
  </si>
  <si>
    <t xml:space="preserve"> 54.83 mi</t>
  </si>
  <si>
    <t xml:space="preserve"> 56.96 mi</t>
  </si>
  <si>
    <t xml:space="preserve"> 59.68 mi</t>
  </si>
  <si>
    <t xml:space="preserve"> 61.67 mi</t>
  </si>
  <si>
    <t xml:space="preserve"> 64.24 mi</t>
  </si>
  <si>
    <t xml:space="preserve"> 70.77 mi</t>
  </si>
  <si>
    <t xml:space="preserve"> 72.28 mi</t>
  </si>
  <si>
    <t xml:space="preserve"> 73.19 mi</t>
  </si>
  <si>
    <t xml:space="preserve"> 73.79 mi</t>
  </si>
  <si>
    <t>ParkerFord_Quakertown_A</t>
  </si>
  <si>
    <t>Parker Ford Bethel Church Rd SS</t>
  </si>
  <si>
    <t xml:space="preserve"> Rt 724 (TFL) Joining Linfield Rd</t>
  </si>
  <si>
    <t xml:space="preserve"> 343.30°</t>
  </si>
  <si>
    <t xml:space="preserve"> N40° 11.95'</t>
  </si>
  <si>
    <t xml:space="preserve"> W75° 35.02'</t>
  </si>
  <si>
    <t>Rt 724 (TFL) Joining Linfield Rd</t>
  </si>
  <si>
    <t xml:space="preserve"> Q X</t>
  </si>
  <si>
    <t xml:space="preserve"> Schuylkill River Bridge (now on Main St)</t>
  </si>
  <si>
    <t xml:space="preserve"> 23.99°</t>
  </si>
  <si>
    <t>Schuylkill River Bridge (now on Main St)</t>
  </si>
  <si>
    <t xml:space="preserve"> N40° 12.30'</t>
  </si>
  <si>
    <t xml:space="preserve"> W75° 34.85'</t>
  </si>
  <si>
    <t xml:space="preserve"> W75° 32.06'</t>
  </si>
  <si>
    <t xml:space="preserve"> Upper Ridge Rd (NOT Crusher Rd)</t>
  </si>
  <si>
    <t>Upper Ridge Rd (NOT Crusher Rd)</t>
  </si>
  <si>
    <t xml:space="preserve"> W74° 57.62'</t>
  </si>
  <si>
    <t>Main St (unmarked)</t>
  </si>
  <si>
    <t xml:space="preserve"> 249.49°</t>
  </si>
  <si>
    <t xml:space="preserve"> N40° 58.99'</t>
  </si>
  <si>
    <t xml:space="preserve"> 313.16°</t>
  </si>
  <si>
    <t xml:space="preserve"> N40° 58.96'</t>
  </si>
  <si>
    <t xml:space="preserve"> W74° 57.72'</t>
  </si>
  <si>
    <t xml:space="preserve"> 70.30°</t>
  </si>
  <si>
    <t xml:space="preserve"> N40° 58.97'</t>
  </si>
  <si>
    <t xml:space="preserve"> W74° 57.74'</t>
  </si>
  <si>
    <t xml:space="preserve"> 1st B L</t>
  </si>
  <si>
    <t xml:space="preserve"> Millbrook Rd (follow National Recreation sign)</t>
  </si>
  <si>
    <t xml:space="preserve"> 70.12°</t>
  </si>
  <si>
    <t xml:space="preserve"> N40° 59.01'</t>
  </si>
  <si>
    <t xml:space="preserve"> W74° 57.60'</t>
  </si>
  <si>
    <t>Millbrook Rd (follow National Recreation sign)</t>
  </si>
  <si>
    <t xml:space="preserve"> Rt 1010 Rd (Caution: Traffic)</t>
  </si>
  <si>
    <t>Rt 1010 Rd (Caution: Traffic)</t>
  </si>
  <si>
    <t xml:space="preserve"> (SS) Joining Rt 1033 / Kutz Rd</t>
  </si>
  <si>
    <t>(SS) Joining Rt 1033 / Kutz Rd</t>
  </si>
  <si>
    <t xml:space="preserve"> FMR TRO Kutz</t>
  </si>
  <si>
    <t xml:space="preserve"> 213.43°</t>
  </si>
  <si>
    <t>FMR TRO Kutz</t>
  </si>
  <si>
    <t xml:space="preserve"> LMR Clay Valley Rd</t>
  </si>
  <si>
    <t xml:space="preserve"> 155.63°</t>
  </si>
  <si>
    <t xml:space="preserve"> N40° 27.54'</t>
  </si>
  <si>
    <t xml:space="preserve"> W75° 46.78'</t>
  </si>
  <si>
    <t>LMR Clay Valley Rd</t>
  </si>
  <si>
    <t xml:space="preserve"> 1st BL</t>
  </si>
  <si>
    <t xml:space="preserve"> Forgedale Rd</t>
  </si>
  <si>
    <t xml:space="preserve"> 126.00°</t>
  </si>
  <si>
    <t xml:space="preserve"> N40° 27.37'</t>
  </si>
  <si>
    <t xml:space="preserve"> W75° 46.69'</t>
  </si>
  <si>
    <t>Forgedale Rd</t>
  </si>
  <si>
    <t xml:space="preserve"> 205.59°</t>
  </si>
  <si>
    <t xml:space="preserve"> N40° 26.95'</t>
  </si>
  <si>
    <t xml:space="preserve"> W75° 45.91'</t>
  </si>
  <si>
    <t xml:space="preserve"> Leave hotel parking lot turning right on Walter Dr {next controle is untimed info question}</t>
  </si>
  <si>
    <t>Leave hotel parking lot turning right on Walter Dr {next controle is untimed info question}</t>
  </si>
  <si>
    <t xml:space="preserve"> (TFL) TRO Rt 147 [Northumberland] {MiniMart Restaurant}</t>
  </si>
  <si>
    <t>(TFL) TRO Rt 147 [Northumberland] {MiniMart Restaurant}</t>
  </si>
  <si>
    <t xml:space="preserve"> TRO Rt 147 (just after bridges) {MiniMart}</t>
  </si>
  <si>
    <t>TRO Rt 147 (just after bridges) {MiniMart}</t>
  </si>
  <si>
    <t xml:space="preserve"> Controle Sunoco A-Plus Mart on left Jct Rt 147 / 225 (Answer info question on card) {MiniMart}</t>
  </si>
  <si>
    <t>Controle Sunoco A-Plus Mart on left Jct Rt 147 / 225 (Answer info question on card) {MiniMart}</t>
  </si>
  <si>
    <t xml:space="preserve"> Rt 3003 /  Hooflander Rd.."Urban 2".."Citgo" {MiniMart Limited services ahead}</t>
  </si>
  <si>
    <t>Rt 3003 /  Hooflander Rd.."Urban 2".."Citgo" {MiniMart Limited services ahead}</t>
  </si>
  <si>
    <t xml:space="preserve"> Controle Virginville Post Office (on left Jct Crystal Cave Rd (Mail Postcard) {tavern in town}</t>
  </si>
  <si>
    <t>Controle Virginville Post Office (on left Jct Crystal Cave Rd (Mail Postcard) {tavern in town}</t>
  </si>
  <si>
    <t xml:space="preserve">    0mi   start: 08/08 04:00</t>
  </si>
  <si>
    <t xml:space="preserve">   36mi    open: 08/08 05:42</t>
  </si>
  <si>
    <t xml:space="preserve">          close: 08/08 07:52</t>
  </si>
  <si>
    <t xml:space="preserve">   84mi    open: 08/08 07:58</t>
  </si>
  <si>
    <t xml:space="preserve">          close: 08/08 13:00</t>
  </si>
  <si>
    <t xml:space="preserve">  122mi    open: 08/08 09:46</t>
  </si>
  <si>
    <t xml:space="preserve">          close: 08/08 17:04</t>
  </si>
  <si>
    <t xml:space="preserve">  139mi    open: 08/08 10:38</t>
  </si>
  <si>
    <t xml:space="preserve">          close: 08/08 18:56</t>
  </si>
  <si>
    <t xml:space="preserve">  190mi    open: 08/08 13:12</t>
  </si>
  <si>
    <t xml:space="preserve">          close: 08/09 00:24</t>
  </si>
  <si>
    <t xml:space="preserve">  224mi    open: 08/08 14:53</t>
  </si>
  <si>
    <t xml:space="preserve"> N40° 6.88'</t>
  </si>
  <si>
    <t xml:space="preserve"> W76° 4.61'</t>
  </si>
  <si>
    <t>Rt 897 / Weaverland Valley Rd</t>
  </si>
  <si>
    <t xml:space="preserve"> 152.35°</t>
  </si>
  <si>
    <t xml:space="preserve"> 1.03 mi</t>
  </si>
  <si>
    <t>Poplar St (1st SS)</t>
  </si>
  <si>
    <t xml:space="preserve"> N40° 7.70'</t>
  </si>
  <si>
    <t xml:space="preserve"> W76° 2.61'</t>
  </si>
  <si>
    <t xml:space="preserve"> 69.09°</t>
  </si>
  <si>
    <t xml:space="preserve"> N40° 7.59'</t>
  </si>
  <si>
    <t xml:space="preserve"> W76° 2.54'</t>
  </si>
  <si>
    <t xml:space="preserve"> Churchtown Rd</t>
  </si>
  <si>
    <t xml:space="preserve"> N40° 8.33'</t>
  </si>
  <si>
    <t xml:space="preserve"> W76° 0.00'</t>
  </si>
  <si>
    <t>Churchtown Rd</t>
  </si>
  <si>
    <t xml:space="preserve"> 105.35°</t>
  </si>
  <si>
    <t xml:space="preserve"> N40° 8.40'</t>
  </si>
  <si>
    <t xml:space="preserve"> W75° 58.98'</t>
  </si>
  <si>
    <t xml:space="preserve"> N40° 8.20'</t>
  </si>
  <si>
    <t xml:space="preserve"> W75° 58.02'</t>
  </si>
  <si>
    <t xml:space="preserve"> Rt 23</t>
  </si>
  <si>
    <t>Rt 23</t>
  </si>
  <si>
    <t xml:space="preserve"> Metal Grate Bridge (Caution)</t>
  </si>
  <si>
    <t xml:space="preserve"> 0.25 mi</t>
  </si>
  <si>
    <t xml:space="preserve"> Joanna Rd</t>
  </si>
  <si>
    <t xml:space="preserve"> 39.94°</t>
  </si>
  <si>
    <t xml:space="preserve"> N40° 9.92'</t>
  </si>
  <si>
    <t xml:space="preserve"> W75° 52.54'</t>
  </si>
  <si>
    <t>Joanna Rd</t>
  </si>
  <si>
    <t xml:space="preserve"> Elverson Rd</t>
  </si>
  <si>
    <t xml:space="preserve"> 0.91 mi</t>
  </si>
  <si>
    <t xml:space="preserve"> 52.16°</t>
  </si>
  <si>
    <t xml:space="preserve"> N40° 10.02'</t>
  </si>
  <si>
    <t xml:space="preserve"> W75° 52.43'</t>
  </si>
  <si>
    <t>Elverson Rd</t>
  </si>
  <si>
    <t xml:space="preserve"> 0.47 mi</t>
  </si>
  <si>
    <t xml:space="preserve"> 88.17°</t>
  </si>
  <si>
    <t xml:space="preserve"> N40° 10.42'</t>
  </si>
  <si>
    <t xml:space="preserve"> W75° 51.77'</t>
  </si>
  <si>
    <t xml:space="preserve"> Hopewell Rd / Park Rd</t>
  </si>
  <si>
    <t xml:space="preserve"> 100.64°</t>
  </si>
  <si>
    <t xml:space="preserve"> N40° 10.43'</t>
  </si>
  <si>
    <t xml:space="preserve"> W75° 51.24'</t>
  </si>
  <si>
    <t>Hopewell Rd / Park Rd</t>
  </si>
  <si>
    <t xml:space="preserve"> N40° 10.41'</t>
  </si>
  <si>
    <t xml:space="preserve"> W75° 51.09'</t>
  </si>
  <si>
    <t xml:space="preserve"> N40° 11.98'</t>
  </si>
  <si>
    <t xml:space="preserve"> W75° 35.03'</t>
  </si>
  <si>
    <t xml:space="preserve"> 0.78 mi</t>
  </si>
  <si>
    <t xml:space="preserve"> 0.64 mi</t>
  </si>
  <si>
    <t xml:space="preserve"> 0.26 mi</t>
  </si>
  <si>
    <t xml:space="preserve"> 0.77 mi</t>
  </si>
  <si>
    <t xml:space="preserve"> 0.62 mi</t>
  </si>
  <si>
    <t xml:space="preserve"> 1.01 mi</t>
  </si>
  <si>
    <t xml:space="preserve">McConnell's Country Store (570) 753-8241 </t>
  </si>
  <si>
    <t>TRO Cherry Valley Rd / Rt 2006 (Del Water Gap sign)</t>
  </si>
  <si>
    <t xml:space="preserve"> Carbondale city limit (now on Wayne St) Steep descent ahead</t>
  </si>
  <si>
    <t xml:space="preserve"> N40° 34.71'</t>
  </si>
  <si>
    <t xml:space="preserve"> W77° 22.62'</t>
  </si>
  <si>
    <t xml:space="preserve"> W77° 22.60'</t>
  </si>
  <si>
    <t>Lewis Rd (TFL) 24-hr WaWa on right corner (jct Rt 422)</t>
  </si>
  <si>
    <t xml:space="preserve"> W Cherry Ln</t>
  </si>
  <si>
    <t xml:space="preserve"> 2.66 mi</t>
  </si>
  <si>
    <t xml:space="preserve"> 29.27°</t>
  </si>
  <si>
    <t xml:space="preserve"> W75° 32.66'</t>
  </si>
  <si>
    <t xml:space="preserve"> 0.43 mi</t>
  </si>
  <si>
    <t xml:space="preserve"> 4.74 mi</t>
  </si>
  <si>
    <t xml:space="preserve"> 0.97 mi</t>
  </si>
  <si>
    <t xml:space="preserve"> N40° 40.42'</t>
  </si>
  <si>
    <t xml:space="preserve"> W77° 11.28'</t>
  </si>
  <si>
    <t xml:space="preserve"> N40° 40.72'</t>
  </si>
  <si>
    <t xml:space="preserve"> W77° 10.27'</t>
  </si>
  <si>
    <t xml:space="preserve"> 2.58 mi</t>
  </si>
  <si>
    <t xml:space="preserve"> N40° 41.08'</t>
  </si>
  <si>
    <t xml:space="preserve"> W77° 9.40'</t>
  </si>
  <si>
    <t xml:space="preserve"> 6.31 mi</t>
  </si>
  <si>
    <t xml:space="preserve"> N40° 41.91'</t>
  </si>
  <si>
    <t xml:space="preserve"> W77° 7.16'</t>
  </si>
  <si>
    <t xml:space="preserve"> Spring Valley Rd TRO Millbrook Rd / Rt 602 (towards yonder hills)</t>
  </si>
  <si>
    <t xml:space="preserve"> 1.89 mi</t>
  </si>
  <si>
    <t xml:space="preserve"> 16.29°</t>
  </si>
  <si>
    <t xml:space="preserve"> N40° 59.04'</t>
  </si>
  <si>
    <t xml:space="preserve"> W74° 57.48'</t>
  </si>
  <si>
    <t>Spring Valley Rd TRO Millbrook Rd / Rt 602 (towards yonder hills)</t>
  </si>
  <si>
    <t xml:space="preserve"> 4.18 mi</t>
  </si>
  <si>
    <t xml:space="preserve"> 347.09°</t>
  </si>
  <si>
    <t xml:space="preserve"> N41° 0.51'</t>
  </si>
  <si>
    <t xml:space="preserve"> W74° 56.91'</t>
  </si>
  <si>
    <t xml:space="preserve"> 1.08 mi</t>
  </si>
  <si>
    <t xml:space="preserve"> 0.74°</t>
  </si>
  <si>
    <t>(TFL) Frystown Rd</t>
  </si>
  <si>
    <t xml:space="preserve"> (SS) Rt 501</t>
  </si>
  <si>
    <t xml:space="preserve"> 80.33°</t>
  </si>
  <si>
    <t xml:space="preserve"> N40° 27.01'</t>
  </si>
  <si>
    <t xml:space="preserve"> W76° 20.08'</t>
  </si>
  <si>
    <t>(SS) Rt 501</t>
  </si>
  <si>
    <t xml:space="preserve"> (TFL) Rehrersburg Rd (leaving Rt 501 which goes left)</t>
  </si>
  <si>
    <t xml:space="preserve"> 72.37°</t>
  </si>
  <si>
    <t xml:space="preserve"> N40° 27.26'</t>
  </si>
  <si>
    <t xml:space="preserve"> W76° 18.13'</t>
  </si>
  <si>
    <t>(TFL) Rehrersburg Rd (leaving Rt 501 which goes left)</t>
  </si>
  <si>
    <t xml:space="preserve"> 75.09°</t>
  </si>
  <si>
    <t xml:space="preserve"> N40° 27.50'</t>
  </si>
  <si>
    <t xml:space="preserve"> W76° 17.12'</t>
  </si>
  <si>
    <t xml:space="preserve"> Kurr Rd</t>
  </si>
  <si>
    <t xml:space="preserve"> 1.46 mi</t>
  </si>
  <si>
    <t xml:space="preserve"> 163.91°</t>
  </si>
  <si>
    <t xml:space="preserve"> N40° 27.56'</t>
  </si>
  <si>
    <t xml:space="preserve"> W76° 16.86'</t>
  </si>
  <si>
    <t>Kurr Rd</t>
  </si>
  <si>
    <t xml:space="preserve"> FMR b/c Cherry Hill Rd</t>
  </si>
  <si>
    <t xml:space="preserve"> 74.61°</t>
  </si>
  <si>
    <t xml:space="preserve"> N40° 26.34'</t>
  </si>
  <si>
    <t xml:space="preserve"> W76° 16.40'</t>
  </si>
  <si>
    <t>FMR b/c Cherry Hill Rd</t>
  </si>
  <si>
    <t xml:space="preserve"> Four Point Rd</t>
  </si>
  <si>
    <t xml:space="preserve"> 359.23°</t>
  </si>
  <si>
    <t xml:space="preserve"> W76° 15.53'</t>
  </si>
  <si>
    <t>Four Point Rd</t>
  </si>
  <si>
    <t xml:space="preserve"> QR</t>
  </si>
  <si>
    <t xml:space="preserve"> (SS) TRO Four Point Rd</t>
  </si>
  <si>
    <t xml:space="preserve"> 0.73 mi</t>
  </si>
  <si>
    <t xml:space="preserve"> 79.08°</t>
  </si>
  <si>
    <t xml:space="preserve"> N40° 26.62'</t>
  </si>
  <si>
    <t>(SS) TRO Four Point Rd</t>
  </si>
  <si>
    <t xml:space="preserve"> x</t>
  </si>
  <si>
    <t xml:space="preserve"> 75.20°</t>
  </si>
  <si>
    <t xml:space="preserve"> N40° 26.74'</t>
  </si>
  <si>
    <t xml:space="preserve"> W76° 14.72'</t>
  </si>
  <si>
    <t xml:space="preserve"> Summer Mountain Rd</t>
  </si>
  <si>
    <t xml:space="preserve"> 150.54°</t>
  </si>
  <si>
    <t xml:space="preserve"> N40° 26.89'</t>
  </si>
  <si>
    <t xml:space="preserve"> W76° 13.97'</t>
  </si>
  <si>
    <t>Summer Mountain Rd</t>
  </si>
  <si>
    <t xml:space="preserve"> Caution: Metal Grate Bridge</t>
  </si>
  <si>
    <t xml:space="preserve"> 4.79 mi</t>
  </si>
  <si>
    <t xml:space="preserve"> 89.17°</t>
  </si>
  <si>
    <t xml:space="preserve"> N40° 26.52'</t>
  </si>
  <si>
    <t xml:space="preserve"> W76° 13.70'</t>
  </si>
  <si>
    <t>Caution: Metal Grate Bridge</t>
  </si>
  <si>
    <t xml:space="preserve"> Rt 183</t>
  </si>
  <si>
    <t xml:space="preserve"> 6.32°</t>
  </si>
  <si>
    <t xml:space="preserve"> N40° 26.58'</t>
  </si>
  <si>
    <t xml:space="preserve"> W76° 8.38'</t>
  </si>
  <si>
    <t>Rt 183</t>
  </si>
  <si>
    <t xml:space="preserve"> Shartlesville Rd</t>
  </si>
  <si>
    <t xml:space="preserve"> 126.22°</t>
  </si>
  <si>
    <t xml:space="preserve"> N40° 26.99'</t>
  </si>
  <si>
    <t xml:space="preserve"> W76° 8.33'</t>
  </si>
  <si>
    <t>Shartlesville Rd</t>
  </si>
  <si>
    <t>Lake Minsi Dr</t>
  </si>
  <si>
    <t xml:space="preserve"> Hopeland Rd / Kleinfeltersville Rd / Rt 1035</t>
  </si>
  <si>
    <t xml:space="preserve"> 256.76°</t>
  </si>
  <si>
    <t xml:space="preserve"> N40° 18.03'</t>
  </si>
  <si>
    <t xml:space="preserve"> W76° 14.91'</t>
  </si>
  <si>
    <t>Hopeland Rd / Kleinfeltersville Rd / Rt 1035</t>
  </si>
  <si>
    <t xml:space="preserve"> Rt 1026 / Hopeland Rd (SS)</t>
  </si>
  <si>
    <t xml:space="preserve"> 5.28 mi</t>
  </si>
  <si>
    <t xml:space="preserve"> 179.72°</t>
  </si>
  <si>
    <t xml:space="preserve"> N40° 18.00'</t>
  </si>
  <si>
    <t xml:space="preserve"> W76° 15.02'</t>
  </si>
  <si>
    <t xml:space="preserve"> N40° 34.91'</t>
  </si>
  <si>
    <t xml:space="preserve"> W77° 34.59'</t>
  </si>
  <si>
    <t xml:space="preserve"> 0.09 mi</t>
  </si>
  <si>
    <t xml:space="preserve"> 0.70 mi</t>
  </si>
  <si>
    <t xml:space="preserve"> 0.22 mi</t>
  </si>
  <si>
    <t xml:space="preserve"> 0.48 mi</t>
  </si>
  <si>
    <t>Millway Rd</t>
  </si>
  <si>
    <t xml:space="preserve"> Cocalico Creek Rd</t>
  </si>
  <si>
    <t xml:space="preserve"> 151.19°</t>
  </si>
  <si>
    <t xml:space="preserve"> N40° 9.61'</t>
  </si>
  <si>
    <t xml:space="preserve"> W76° 13.46'</t>
  </si>
  <si>
    <t>Cocalico Creek Rd</t>
  </si>
  <si>
    <t xml:space="preserve"> Oregon Pike (SS) (Caution: Fast traffic) Now on Lauber Rd</t>
  </si>
  <si>
    <t xml:space="preserve"> 74.45°</t>
  </si>
  <si>
    <t xml:space="preserve"> N40° 8.62'</t>
  </si>
  <si>
    <t xml:space="preserve"> W76° 12.75'</t>
  </si>
  <si>
    <t>Oregon Pike (SS) (Caution: Fast traffic) Now on Lauber Rd</t>
  </si>
  <si>
    <t xml:space="preserve"> Tobacco Rd (crossing Old Akron Rd)</t>
  </si>
  <si>
    <t xml:space="preserve"> 85.59°</t>
  </si>
  <si>
    <t xml:space="preserve"> N40° 8.65'</t>
  </si>
  <si>
    <t xml:space="preserve"> W76° 12.61'</t>
  </si>
  <si>
    <t>Tobacco Rd (crossing Old Akron Rd)</t>
  </si>
  <si>
    <t xml:space="preserve"> Pool Rd (SS)</t>
  </si>
  <si>
    <t xml:space="preserve"> 77.51°</t>
  </si>
  <si>
    <t xml:space="preserve"> N40° 8.66'</t>
  </si>
  <si>
    <t xml:space="preserve"> W76° 12.50'</t>
  </si>
  <si>
    <t>Pool Rd (SS)</t>
  </si>
  <si>
    <t>Middle Creek Rd (Hammer Creek Rd on right)</t>
  </si>
  <si>
    <t>Controle Mifflintown Plaza on left (Tom's mini mart in plaza) {MiniMart Restaurant FastFood Hotel}</t>
  </si>
  <si>
    <t xml:space="preserve"> (TFL) TRO Rt 35 / Main St [Mifflintown]</t>
  </si>
  <si>
    <t xml:space="preserve"> 240.65°</t>
  </si>
  <si>
    <t>(TFL) TRO Rt 35 / Main St [Mifflintown]</t>
  </si>
  <si>
    <t xml:space="preserve"> TRO Rt 35 at traffic circle</t>
  </si>
  <si>
    <t xml:space="preserve"> 48.55 mi</t>
  </si>
  <si>
    <t xml:space="preserve"> 176.26°</t>
  </si>
  <si>
    <t xml:space="preserve"> N40° 34.20'</t>
  </si>
  <si>
    <t xml:space="preserve"> W77° 23.82'</t>
  </si>
  <si>
    <t>TRO Rt 35 at traffic circle</t>
  </si>
  <si>
    <t xml:space="preserve"> 48.79 mi</t>
  </si>
  <si>
    <t xml:space="preserve"> 266.38°</t>
  </si>
  <si>
    <t xml:space="preserve"> N40° 34.00'</t>
  </si>
  <si>
    <t xml:space="preserve"> W77° 23.80'</t>
  </si>
  <si>
    <t xml:space="preserve"> Rt 333 West (Limited services ahead) {MiniMart}</t>
  </si>
  <si>
    <t xml:space="preserve"> 48.95 mi</t>
  </si>
  <si>
    <t xml:space="preserve"> 266.80°</t>
  </si>
  <si>
    <t xml:space="preserve"> N40° 33.99'</t>
  </si>
  <si>
    <t xml:space="preserve"> W77° 23.99'</t>
  </si>
  <si>
    <t>Rt 333 West (Limited services ahead) {MiniMart}</t>
  </si>
  <si>
    <t xml:space="preserve"> 49.22 mi</t>
  </si>
  <si>
    <t xml:space="preserve"> 49.52 mi</t>
  </si>
  <si>
    <t xml:space="preserve"> 49.58 mi</t>
  </si>
  <si>
    <t xml:space="preserve"> (unmarked) Pleasant View Rd (LMR at right bend - just past "Matt's Excavation" on left)</t>
  </si>
  <si>
    <t xml:space="preserve"> 10.57 mi</t>
  </si>
  <si>
    <t xml:space="preserve"> 61.92 mi</t>
  </si>
  <si>
    <t xml:space="preserve"> 228.38°</t>
  </si>
  <si>
    <t>(unmarked) Pleasant View Rd (LMR at right bend - just past "Matt's Excavation" on left)</t>
  </si>
  <si>
    <t xml:space="preserve"> 72.49 mi</t>
  </si>
  <si>
    <t xml:space="preserve"> 73.21 mi</t>
  </si>
  <si>
    <t xml:space="preserve"> (SS) Water St b/c Fergunson Valley Rd / Rt 3017 {Store}</t>
  </si>
  <si>
    <t xml:space="preserve"> 83.26 mi</t>
  </si>
  <si>
    <t>(SS) Water St b/c Fergunson Valley Rd / Rt 3017 {Store}</t>
  </si>
  <si>
    <t xml:space="preserve"> Country Club Rd (dirt road goes straight) b/c Kistler Rd ahead </t>
  </si>
  <si>
    <t xml:space="preserve"> 83.42 mi</t>
  </si>
  <si>
    <t xml:space="preserve">Country Club Rd (dirt road goes straight) b/c Kistler Rd ahead </t>
  </si>
  <si>
    <t xml:space="preserve"> 85.04 mi</t>
  </si>
  <si>
    <t xml:space="preserve"> 86.37 mi</t>
  </si>
  <si>
    <t xml:space="preserve"> 86.74 mi</t>
  </si>
  <si>
    <t xml:space="preserve"> 87.02 mi</t>
  </si>
  <si>
    <t xml:space="preserve"> 87.04 mi</t>
  </si>
  <si>
    <t xml:space="preserve"> (TFL) Rt 22 {Pizza; Ice cream}</t>
  </si>
  <si>
    <t xml:space="preserve"> 87.45 mi</t>
  </si>
  <si>
    <t>(TFL) Rt 22 {Pizza; Ice cream}</t>
  </si>
  <si>
    <t xml:space="preserve"> Oriskany Rd / Rt 2020 (look for "To 655") {MiniMart}</t>
  </si>
  <si>
    <t xml:space="preserve"> 87.59 mi</t>
  </si>
  <si>
    <t>Oriskany Rd / Rt 2020 (look for "To 655") {MiniMart}</t>
  </si>
  <si>
    <t xml:space="preserve"> 90.19 mi</t>
  </si>
  <si>
    <t xml:space="preserve"> 90.90 mi</t>
  </si>
  <si>
    <t xml:space="preserve"> (unmarked) Maint St (Leaving Rt 655)</t>
  </si>
  <si>
    <t xml:space="preserve"> 91.07 mi</t>
  </si>
  <si>
    <t xml:space="preserve"> 300.30°</t>
  </si>
  <si>
    <t>(unmarked) Maint St (Leaving Rt 655)</t>
  </si>
  <si>
    <t xml:space="preserve"> (SS) Callohill St / Rt 3029</t>
  </si>
  <si>
    <t xml:space="preserve"> 91.17 mi</t>
  </si>
  <si>
    <t xml:space="preserve"> 299.20°</t>
  </si>
  <si>
    <t xml:space="preserve"> W77° 56.60'</t>
  </si>
  <si>
    <t>(SS) Callohill St / Rt 3029</t>
  </si>
  <si>
    <t xml:space="preserve"> (unmarked) Smith Valley Rd / Rt 3029 (Jct River Rd near school)</t>
  </si>
  <si>
    <t xml:space="preserve"> 91.25 mi</t>
  </si>
  <si>
    <t>(unmarked) Smith Valley Rd / Rt 3029 (Jct River Rd near school)</t>
  </si>
  <si>
    <t xml:space="preserve"> (unmakred) Rt 3049 / Polecat Hollow Rd (following Bike Route)</t>
  </si>
  <si>
    <t xml:space="preserve"> 91.93 mi</t>
  </si>
  <si>
    <t>(unmakred) Rt 3049 / Polecat Hollow Rd (following Bike Route)</t>
  </si>
  <si>
    <t xml:space="preserve"> 92.80 mi</t>
  </si>
  <si>
    <t xml:space="preserve"> 94.06 mi</t>
  </si>
  <si>
    <t xml:space="preserve"> 95.31 mi</t>
  </si>
  <si>
    <t xml:space="preserve"> Kwik Fill {MiniMart; Diner}</t>
  </si>
  <si>
    <t xml:space="preserve"> 95.59 mi</t>
  </si>
  <si>
    <t>Kwik Fill {MiniMart; Diner}</t>
  </si>
  <si>
    <t xml:space="preserve"> 95.71 mi</t>
  </si>
  <si>
    <t xml:space="preserve"> 96.03 mi</t>
  </si>
  <si>
    <t xml:space="preserve"> 102.03 mi</t>
  </si>
  <si>
    <t xml:space="preserve"> 108.91 mi</t>
  </si>
  <si>
    <t xml:space="preserve"> 114.18 mi</t>
  </si>
  <si>
    <t xml:space="preserve"> 118.90 mi</t>
  </si>
  <si>
    <t xml:space="preserve"> 122.50 mi</t>
  </si>
  <si>
    <t xml:space="preserve"> 124.64 mi</t>
  </si>
  <si>
    <t xml:space="preserve"> 124.65 mi</t>
  </si>
  <si>
    <t xml:space="preserve"> 125.99 mi</t>
  </si>
  <si>
    <t xml:space="preserve"> 129.51 mi</t>
  </si>
  <si>
    <t xml:space="preserve"> 130.54 mi</t>
  </si>
  <si>
    <t xml:space="preserve"> 130.78 mi</t>
  </si>
  <si>
    <t xml:space="preserve"> 132.57 mi</t>
  </si>
  <si>
    <t xml:space="preserve"> 133.06 mi</t>
  </si>
  <si>
    <t xml:space="preserve"> 133.46 mi</t>
  </si>
  <si>
    <t xml:space="preserve"> 138.68 mi</t>
  </si>
  <si>
    <t xml:space="preserve"> N40° 27.83'</t>
  </si>
  <si>
    <t xml:space="preserve"> W75° 46.53'</t>
  </si>
  <si>
    <t xml:space="preserve"> Water St (on right) now on Hoch Rd</t>
  </si>
  <si>
    <t xml:space="preserve"> 164.98°</t>
  </si>
  <si>
    <t xml:space="preserve"> N40° 26.45'</t>
  </si>
  <si>
    <t xml:space="preserve"> W75° 46.23'</t>
  </si>
  <si>
    <t>Water St (on right) now on Hoch Rd</t>
  </si>
  <si>
    <t xml:space="preserve"> Cleaver Rd (just before end of road at Rt 73 T)</t>
  </si>
  <si>
    <t xml:space="preserve"> 143.24°</t>
  </si>
  <si>
    <t xml:space="preserve"> N40° 24.55'</t>
  </si>
  <si>
    <t xml:space="preserve"> W75° 45.55'</t>
  </si>
  <si>
    <t>Cleaver Rd (just before end of road at Rt 73 T)</t>
  </si>
  <si>
    <t xml:space="preserve"> Oysterdale Rd</t>
  </si>
  <si>
    <t xml:space="preserve"> 44.09°</t>
  </si>
  <si>
    <t xml:space="preserve"> N40° 23.23'</t>
  </si>
  <si>
    <t xml:space="preserve"> W75° 44.27'</t>
  </si>
  <si>
    <t>Oysterdale Rd</t>
  </si>
  <si>
    <t xml:space="preserve"> TRO Oysterdale Rd (Jct. Mine Rd)</t>
  </si>
  <si>
    <t xml:space="preserve"> 48.16°</t>
  </si>
  <si>
    <t xml:space="preserve"> N40° 23.64'</t>
  </si>
  <si>
    <t xml:space="preserve"> W75° 43.74'</t>
  </si>
  <si>
    <t>TRO Oysterdale Rd (Jct. Mine Rd)</t>
  </si>
  <si>
    <t xml:space="preserve"> (SS) Hill Church Rd</t>
  </si>
  <si>
    <t xml:space="preserve"> N40° 24.01'</t>
  </si>
  <si>
    <t xml:space="preserve"> W75° 43.21'</t>
  </si>
  <si>
    <t>(SS) Hill Church Rd</t>
  </si>
  <si>
    <t xml:space="preserve"> TRO Hill Church Rd (Crossing Mountain Mary Rd)</t>
  </si>
  <si>
    <t xml:space="preserve"> 2.73 mi</t>
  </si>
  <si>
    <t xml:space="preserve"> 116.97°</t>
  </si>
  <si>
    <t xml:space="preserve"> N40° 24.05'</t>
  </si>
  <si>
    <t xml:space="preserve"> W75° 43.04'</t>
  </si>
  <si>
    <t>TRO Hill Church Rd (Crossing Mountain Mary Rd)</t>
  </si>
  <si>
    <t xml:space="preserve"> TRO Hill Church Rd (Jct. Landis Store Rd)</t>
  </si>
  <si>
    <t xml:space="preserve"> 26.56°</t>
  </si>
  <si>
    <t xml:space="preserve"> N40° 23.03'</t>
  </si>
  <si>
    <t xml:space="preserve"> W75° 40.41'</t>
  </si>
  <si>
    <t>TRO Hill Church Rd (Jct. Landis Store Rd)</t>
  </si>
  <si>
    <t xml:space="preserve"> Oberholtzer Rd</t>
  </si>
  <si>
    <t xml:space="preserve"> 100.51°</t>
  </si>
  <si>
    <t xml:space="preserve"> W75° 40.37'</t>
  </si>
  <si>
    <t>Oberholtzer Rd</t>
  </si>
  <si>
    <t xml:space="preserve"> Old Route 100</t>
  </si>
  <si>
    <t xml:space="preserve"> 112.13°</t>
  </si>
  <si>
    <t xml:space="preserve"> N40° 22.75'</t>
  </si>
  <si>
    <t xml:space="preserve"> W75° 37.88'</t>
  </si>
  <si>
    <t>Old Route 100</t>
  </si>
  <si>
    <t xml:space="preserve"> Dairy Ln</t>
  </si>
  <si>
    <t xml:space="preserve"> 2.20 mi</t>
  </si>
  <si>
    <t xml:space="preserve"> 51.80°</t>
  </si>
  <si>
    <t xml:space="preserve"> N40° 22.67'</t>
  </si>
  <si>
    <t xml:space="preserve"> W75° 37.63'</t>
  </si>
  <si>
    <t>Dairy Ln</t>
  </si>
  <si>
    <t xml:space="preserve"> Rt 100 {Ice Cream}</t>
  </si>
  <si>
    <t xml:space="preserve"> 133.57°</t>
  </si>
  <si>
    <t xml:space="preserve"> W75° 35.87'</t>
  </si>
  <si>
    <t>Rt 100 {Ice Cream}</t>
  </si>
  <si>
    <t xml:space="preserve"> (TFL) Niantic Rd</t>
  </si>
  <si>
    <t xml:space="preserve"> 204.90°</t>
  </si>
  <si>
    <t xml:space="preserve"> N40° 23.58'</t>
  </si>
  <si>
    <t xml:space="preserve"> W75° 35.66'</t>
  </si>
  <si>
    <t>(TFL) Niantic Rd</t>
  </si>
  <si>
    <t xml:space="preserve"> Hill Rd</t>
  </si>
  <si>
    <t xml:space="preserve"> 2.62 mi</t>
  </si>
  <si>
    <t xml:space="preserve"> 129.85°</t>
  </si>
  <si>
    <t xml:space="preserve"> N40° 23.54'</t>
  </si>
  <si>
    <t xml:space="preserve"> W75° 35.68'</t>
  </si>
  <si>
    <t>Hill Rd</t>
  </si>
  <si>
    <t xml:space="preserve"> (TFL) Rt 663</t>
  </si>
  <si>
    <t xml:space="preserve"> 1.67 mi</t>
  </si>
  <si>
    <t xml:space="preserve"> 121.99°</t>
  </si>
  <si>
    <t xml:space="preserve"> N40° 22.14'</t>
  </si>
  <si>
    <t xml:space="preserve"> W75° 33.48'</t>
  </si>
  <si>
    <t>(TFL) Rt 663</t>
  </si>
  <si>
    <t xml:space="preserve"> (TFL) Rt 29 TRO Rt 663 / Pottstown Rd [Pennsburg] {Stores}</t>
  </si>
  <si>
    <t xml:space="preserve"> 3.45 mi</t>
  </si>
  <si>
    <t xml:space="preserve"> 32.48°</t>
  </si>
  <si>
    <t xml:space="preserve"> N40° 21.39'</t>
  </si>
  <si>
    <t xml:space="preserve"> W75° 31.91'</t>
  </si>
  <si>
    <t>(TFL) Rt 29 TRO Rt 663 / Pottstown Rd [Pennsburg] {Stores}</t>
  </si>
  <si>
    <t xml:space="preserve"> Rt 476 / PA Tpk (Almost there!)</t>
  </si>
  <si>
    <t xml:space="preserve"> 4.76 mi</t>
  </si>
  <si>
    <t xml:space="preserve"> N40° 23.89'</t>
  </si>
  <si>
    <t xml:space="preserve"> W75° 29.82'</t>
  </si>
  <si>
    <t>Rt 476 / PA Tpk (Almost there!)</t>
  </si>
  <si>
    <t xml:space="preserve"> Controle Hampton Inn (on right) CONGRATULATIONS!</t>
  </si>
  <si>
    <t xml:space="preserve"> 84.14°</t>
  </si>
  <si>
    <t xml:space="preserve"> N40° 26.07'</t>
  </si>
  <si>
    <t xml:space="preserve"> W75° 25.39'</t>
  </si>
  <si>
    <t>Controle Hampton Inn (on right) CONGRATULATIONS!</t>
  </si>
  <si>
    <t xml:space="preserve"> FINISH</t>
  </si>
  <si>
    <t xml:space="preserve"> 151.39°</t>
  </si>
  <si>
    <t>Rt225_Quakertown_A.csv</t>
  </si>
  <si>
    <t>US Post Office (610) 562-5577</t>
  </si>
  <si>
    <t>475 Main St., Virginville, PA</t>
  </si>
  <si>
    <t>Flying J Truck Stop (717) 933-4146</t>
  </si>
  <si>
    <t xml:space="preserve">2210 Camp Swatara Rd / Rt 645, Frystown, PA </t>
  </si>
  <si>
    <t xml:space="preserve"> N40° 44.16'</t>
  </si>
  <si>
    <t xml:space="preserve"> W77° 0.77'</t>
  </si>
  <si>
    <t xml:space="preserve"> W76° 53.57'</t>
  </si>
  <si>
    <t xml:space="preserve"> 1.73 mi</t>
  </si>
  <si>
    <t xml:space="preserve"> 0.27 mi</t>
  </si>
  <si>
    <t xml:space="preserve"> 76.15°</t>
  </si>
  <si>
    <t xml:space="preserve"> W76° 29.92'</t>
  </si>
  <si>
    <t xml:space="preserve"> N40° 37.48'</t>
  </si>
  <si>
    <t xml:space="preserve"> W76° 29.10'</t>
  </si>
  <si>
    <t xml:space="preserve"> N40° 46.60'</t>
  </si>
  <si>
    <t xml:space="preserve"> N40° 44.03'</t>
  </si>
  <si>
    <t xml:space="preserve"> 96.16 mi</t>
  </si>
  <si>
    <t xml:space="preserve"> 0.90 mi</t>
  </si>
  <si>
    <t xml:space="preserve"> 3.89 mi</t>
  </si>
  <si>
    <t xml:space="preserve"> N40° 35.64'</t>
  </si>
  <si>
    <t xml:space="preserve"> 0.19 mi</t>
  </si>
  <si>
    <t xml:space="preserve"> 1.26 mi</t>
  </si>
  <si>
    <t xml:space="preserve"> 28.64 mi</t>
  </si>
  <si>
    <t xml:space="preserve"> W75° 15.93'</t>
  </si>
  <si>
    <t xml:space="preserve"> Q L</t>
  </si>
  <si>
    <t xml:space="preserve"> Stop</t>
  </si>
  <si>
    <t xml:space="preserve"> 0.37 mi</t>
  </si>
  <si>
    <t>Controle 1</t>
  </si>
  <si>
    <t xml:space="preserve"> 0.21 mi</t>
  </si>
  <si>
    <t>Ref</t>
  </si>
  <si>
    <t>Mile</t>
  </si>
  <si>
    <t>Desc</t>
  </si>
  <si>
    <t xml:space="preserve"> Turn</t>
  </si>
  <si>
    <t>Adj</t>
  </si>
  <si>
    <t>TRO=To remain on, ***=Easy to miss</t>
  </si>
  <si>
    <t xml:space="preserve"> 0.03 mi</t>
  </si>
  <si>
    <t xml:space="preserve"> Start</t>
  </si>
  <si>
    <t xml:space="preserve"> B L</t>
  </si>
  <si>
    <t xml:space="preserve"> 0.02 mi</t>
  </si>
  <si>
    <t xml:space="preserve"> Continue</t>
  </si>
  <si>
    <t xml:space="preserve"> 1st B R</t>
  </si>
  <si>
    <t>Turn</t>
  </si>
  <si>
    <t>Description</t>
  </si>
  <si>
    <t>L=Left, R=Right, T=T Intersection, B=Bear, X=Cross</t>
  </si>
  <si>
    <t>Leg</t>
  </si>
  <si>
    <t>Seg</t>
  </si>
  <si>
    <t>SS=Stop Sign, TFL=Traffic Light, b/c=Becomes, Q=Quick</t>
  </si>
  <si>
    <t xml:space="preserve"> Straight</t>
  </si>
  <si>
    <t>Cum</t>
  </si>
  <si>
    <t>From</t>
  </si>
  <si>
    <t xml:space="preserve"> "Journal Entry"</t>
  </si>
  <si>
    <t xml:space="preserve"> To</t>
  </si>
  <si>
    <t xml:space="preserve"> Leg Distance</t>
  </si>
  <si>
    <t xml:space="preserve"> Total Distance</t>
  </si>
  <si>
    <t xml:space="preserve"> Bearing</t>
  </si>
  <si>
    <t xml:space="preserve"> Latitude</t>
  </si>
  <si>
    <t xml:space="preserve"> Longitude</t>
  </si>
  <si>
    <t xml:space="preserve"> R</t>
  </si>
  <si>
    <t xml:space="preserve"> 0.00 mi</t>
  </si>
  <si>
    <t xml:space="preserve"> 1st L</t>
  </si>
  <si>
    <t xml:space="preserve"> L</t>
  </si>
  <si>
    <t xml:space="preserve"> B R</t>
  </si>
  <si>
    <t xml:space="preserve"> X</t>
  </si>
  <si>
    <t xml:space="preserve"> T L</t>
  </si>
  <si>
    <t xml:space="preserve"> T R</t>
  </si>
  <si>
    <t xml:space="preserve"> 0.11 mi</t>
  </si>
  <si>
    <t xml:space="preserve"> Pass</t>
  </si>
  <si>
    <t xml:space="preserve"> 1st R</t>
  </si>
  <si>
    <t xml:space="preserve"> 0.14 mi</t>
  </si>
  <si>
    <t xml:space="preserve"> 0.17 mi</t>
  </si>
  <si>
    <t xml:space="preserve"> 0.04 mi</t>
  </si>
  <si>
    <t>Number</t>
  </si>
  <si>
    <t>Row</t>
  </si>
  <si>
    <t>Mileage</t>
  </si>
  <si>
    <t>Handle</t>
  </si>
  <si>
    <t>RUSA calculator</t>
  </si>
  <si>
    <t>Control Info</t>
  </si>
  <si>
    <t>Cue Sheet Info</t>
  </si>
  <si>
    <t xml:space="preserve"> 0.60 mi</t>
  </si>
  <si>
    <t xml:space="preserve"> 0.07 mi</t>
  </si>
  <si>
    <t xml:space="preserve"> 0.13 mi</t>
  </si>
  <si>
    <t xml:space="preserve"> 0.39 mi</t>
  </si>
  <si>
    <t>Checkpoint       Date  Time</t>
  </si>
  <si>
    <t>==========       ====  ====</t>
  </si>
  <si>
    <t>Brevet Card Info</t>
  </si>
  <si>
    <t xml:space="preserve"> STOP</t>
  </si>
  <si>
    <t xml:space="preserve"> 5.73 mi</t>
  </si>
  <si>
    <t xml:space="preserve"> 4.89°</t>
  </si>
  <si>
    <t xml:space="preserve"> N40° 31.76'</t>
  </si>
  <si>
    <t xml:space="preserve"> W75° 23.63'</t>
  </si>
  <si>
    <t xml:space="preserve"> 56.45°</t>
  </si>
  <si>
    <t xml:space="preserve"> N40° 36.54'</t>
  </si>
  <si>
    <t xml:space="preserve"> W75° 23.10'</t>
  </si>
  <si>
    <t xml:space="preserve"> 90.87°</t>
  </si>
  <si>
    <t xml:space="preserve"> N40° 36.63'</t>
  </si>
  <si>
    <t xml:space="preserve"> W75° 22.93'</t>
  </si>
  <si>
    <t xml:space="preserve"> New St Bridge</t>
  </si>
  <si>
    <t xml:space="preserve"> 359.51°</t>
  </si>
  <si>
    <t xml:space="preserve"> N40° 36.62'</t>
  </si>
  <si>
    <t xml:space="preserve"> W75° 22.71'</t>
  </si>
  <si>
    <t>New St Bridge</t>
  </si>
  <si>
    <t xml:space="preserve"> Center St</t>
  </si>
  <si>
    <t xml:space="preserve"> 0.00°</t>
  </si>
  <si>
    <t xml:space="preserve"> N40° 36.92'</t>
  </si>
  <si>
    <t>Center St</t>
  </si>
  <si>
    <t xml:space="preserve"> 2.71 mi</t>
  </si>
  <si>
    <t xml:space="preserve"> 1.08°</t>
  </si>
  <si>
    <t xml:space="preserve"> N40° 37.04'</t>
  </si>
  <si>
    <t xml:space="preserve"> 261.53°</t>
  </si>
  <si>
    <t xml:space="preserve"> N40° 39.26'</t>
  </si>
  <si>
    <t xml:space="preserve"> W75° 22.66'</t>
  </si>
  <si>
    <t xml:space="preserve"> 21.08 mi</t>
  </si>
  <si>
    <t xml:space="preserve"> N40° 39.13'</t>
  </si>
  <si>
    <t xml:space="preserve"> W75° 23.89'</t>
  </si>
  <si>
    <t xml:space="preserve"> 3.49 mi</t>
  </si>
  <si>
    <t xml:space="preserve"> W75° 25.48'</t>
  </si>
  <si>
    <t xml:space="preserve"> Kreidersville Rd (SS) b/c Indian Trail Rd</t>
  </si>
  <si>
    <t>Kreidersville Rd (SS) b/c Indian Trail Rd</t>
  </si>
  <si>
    <t>Swamp Pike TRO Neiffer Rd (TFL)</t>
  </si>
  <si>
    <t xml:space="preserve"> Rt 73 / Big Rd</t>
  </si>
  <si>
    <t xml:space="preserve"> 4.23 mi</t>
  </si>
  <si>
    <t xml:space="preserve"> 5.65 mi</t>
  </si>
  <si>
    <t xml:space="preserve"> 16.74°</t>
  </si>
  <si>
    <t xml:space="preserve"> N40° 14.83'</t>
  </si>
  <si>
    <t>Rt 73 / Big Rd</t>
  </si>
  <si>
    <t xml:space="preserve"> Perkiomenville Rd / Rt 1028</t>
  </si>
  <si>
    <t xml:space="preserve"> 9.88 mi</t>
  </si>
  <si>
    <t xml:space="preserve"> 334.09°</t>
  </si>
  <si>
    <t xml:space="preserve"> N40° 17.58'</t>
  </si>
  <si>
    <t xml:space="preserve"> W75° 30.98'</t>
  </si>
  <si>
    <t>Perkiomenville Rd / Rt 1028</t>
  </si>
  <si>
    <t xml:space="preserve"> (unmarked) Deep Creek Rd (at Perkiomen Trail)</t>
  </si>
  <si>
    <t xml:space="preserve"> 2.79 mi</t>
  </si>
  <si>
    <t xml:space="preserve"> 10.02 mi</t>
  </si>
  <si>
    <t xml:space="preserve"> 42.85°</t>
  </si>
  <si>
    <t xml:space="preserve"> N40° 17.69'</t>
  </si>
  <si>
    <t xml:space="preserve"> W75° 31.05'</t>
  </si>
  <si>
    <t>(unmarked) Deep Creek Rd (at Perkiomen Trail)</t>
  </si>
  <si>
    <t xml:space="preserve"> Rt 29 / Gravel Pike</t>
  </si>
  <si>
    <t xml:space="preserve"> 12.81 mi</t>
  </si>
  <si>
    <t xml:space="preserve"> 187.34°</t>
  </si>
  <si>
    <t xml:space="preserve"> N40° 19.43'</t>
  </si>
  <si>
    <t xml:space="preserve"> W75° 28.94'</t>
  </si>
  <si>
    <t>Rt 29 / Gravel Pike</t>
  </si>
  <si>
    <t xml:space="preserve"> 13.05 mi</t>
  </si>
  <si>
    <t xml:space="preserve"> 38.18°</t>
  </si>
  <si>
    <t xml:space="preserve"> N40° 19.22'</t>
  </si>
  <si>
    <t xml:space="preserve"> W75° 28.97'</t>
  </si>
  <si>
    <t xml:space="preserve"> 1st R + Q B L</t>
  </si>
  <si>
    <t xml:space="preserve"> Magazine Rd (at Pizzeria)</t>
  </si>
  <si>
    <t xml:space="preserve"> 14.64 mi</t>
  </si>
  <si>
    <t>Magazine Rd (at Pizzeria)</t>
  </si>
  <si>
    <t xml:space="preserve"> Gerryville Rd (SS) TRO Magazine Rd</t>
  </si>
  <si>
    <t xml:space="preserve"> 14.80 mi</t>
  </si>
  <si>
    <t xml:space="preserve"> 43.09°</t>
  </si>
  <si>
    <t>Gerryville Rd (SS) TRO Magazine Rd</t>
  </si>
  <si>
    <t xml:space="preserve"> Joining Swamp Creek Rd (SS) (Swamp Creek also goes right here)</t>
  </si>
  <si>
    <t xml:space="preserve"> 0.23 mi</t>
  </si>
  <si>
    <t xml:space="preserve"> 15.04 mi</t>
  </si>
  <si>
    <t xml:space="preserve"> 64.29°</t>
  </si>
  <si>
    <t xml:space="preserve"> N40° 20.00'</t>
  </si>
  <si>
    <t xml:space="preserve"> W75° 27.22'</t>
  </si>
  <si>
    <t>Joining Swamp Creek Rd (SS) (Swamp Creek also goes right here)</t>
  </si>
  <si>
    <t xml:space="preserve"> Straight (NOT Right)</t>
  </si>
  <si>
    <t xml:space="preserve"> Small stone bridge over creek TRO Swamp Creek Rd / Rt 1030</t>
  </si>
  <si>
    <t xml:space="preserve"> 117.97°</t>
  </si>
  <si>
    <t>Small stone bridge over creek TRO Swamp Creek Rd / Rt 1030</t>
  </si>
  <si>
    <t xml:space="preserve"> TRO Swamp Creek Rd / Rt 1030 (Miller Rd on left)</t>
  </si>
  <si>
    <t xml:space="preserve"> 3.21 mi</t>
  </si>
  <si>
    <t xml:space="preserve"> 15.31 mi</t>
  </si>
  <si>
    <t xml:space="preserve"> 29.14°</t>
  </si>
  <si>
    <t xml:space="preserve"> N40° 20.06'</t>
  </si>
  <si>
    <t xml:space="preserve"> W75° 26.96'</t>
  </si>
  <si>
    <t>TRO Swamp Creek Rd / Rt 1030 (Miller Rd on left)</t>
  </si>
  <si>
    <t xml:space="preserve"> Upper Ridge Rd / Rt 4033</t>
  </si>
  <si>
    <t>Upper Ridge Rd / Rt 4033</t>
  </si>
  <si>
    <t xml:space="preserve"> (unmarked) Trumbauersville Rd (Finland Inn on left)</t>
  </si>
  <si>
    <t>(unmarked) Trumbauersville Rd (Finland Inn on left)</t>
  </si>
  <si>
    <t xml:space="preserve"> Canary Rd (look for Jacuzzi sign on right)</t>
  </si>
  <si>
    <t>Canary Rd (look for Jacuzzi sign on right)</t>
  </si>
  <si>
    <t xml:space="preserve"> 20.93 mi</t>
  </si>
  <si>
    <t xml:space="preserve"> at Walnut Ln</t>
  </si>
  <si>
    <t xml:space="preserve"> 21.64 mi</t>
  </si>
  <si>
    <t xml:space="preserve"> 8.47°</t>
  </si>
  <si>
    <t>at Walnut Ln</t>
  </si>
  <si>
    <t xml:space="preserve"> (unmarked) Kumry Rd</t>
  </si>
  <si>
    <t xml:space="preserve"> 22.78 mi</t>
  </si>
  <si>
    <t xml:space="preserve"> 28.26°</t>
  </si>
  <si>
    <t xml:space="preserve"> N40° 25.06'</t>
  </si>
  <si>
    <t xml:space="preserve"> W75° 24.95'</t>
  </si>
  <si>
    <t>(unmarked) Kumry Rd</t>
  </si>
  <si>
    <t xml:space="preserve"> Q T L</t>
  </si>
  <si>
    <t xml:space="preserve"> N41° 3.58'</t>
  </si>
  <si>
    <t xml:space="preserve"> W74° 57.85'</t>
  </si>
  <si>
    <t xml:space="preserve"> N41° 4.39'</t>
  </si>
  <si>
    <t xml:space="preserve"> W74° 57.83'</t>
  </si>
  <si>
    <t xml:space="preserve"> Rt 615 [Peters Valley] (towards red trim house)</t>
  </si>
  <si>
    <t xml:space="preserve"> 9.68 mi</t>
  </si>
  <si>
    <t xml:space="preserve"> 41.40°</t>
  </si>
  <si>
    <t xml:space="preserve"> N41° 6.07'</t>
  </si>
  <si>
    <t>Rt 615 [Peters Valley] (towards red trim house)</t>
  </si>
  <si>
    <t xml:space="preserve"> Rt 640</t>
  </si>
  <si>
    <t xml:space="preserve"> 53.64°</t>
  </si>
  <si>
    <t xml:space="preserve"> N41° 11.79'</t>
  </si>
  <si>
    <t xml:space="preserve"> W74° 51.04'</t>
  </si>
  <si>
    <t>Rt 640</t>
  </si>
  <si>
    <t xml:space="preserve"> 1.33 mi</t>
  </si>
  <si>
    <t xml:space="preserve"> N41° 12.08'</t>
  </si>
  <si>
    <t xml:space="preserve"> W74° 50.52'</t>
  </si>
  <si>
    <t>Wintersville Rd (SS)</t>
  </si>
  <si>
    <t xml:space="preserve"> Rt 422 (TFL) now on Millardsville Rd </t>
  </si>
  <si>
    <t xml:space="preserve"> 0.54 mi</t>
  </si>
  <si>
    <t xml:space="preserve"> 191.81°</t>
  </si>
  <si>
    <t xml:space="preserve"> N40° 23.53'</t>
  </si>
  <si>
    <t xml:space="preserve"> W76° 15.96'</t>
  </si>
  <si>
    <t xml:space="preserve">Rt 422 (TFL) now on Millardsville Rd </t>
  </si>
  <si>
    <t xml:space="preserve"> Entering Richland (now on Chestnut / Main St)</t>
  </si>
  <si>
    <t xml:space="preserve"> 166.83°</t>
  </si>
  <si>
    <t xml:space="preserve"> N40° 23.08'</t>
  </si>
  <si>
    <t xml:space="preserve"> W76° 16.09'</t>
  </si>
  <si>
    <t>Entering Richland (now on Chestnut / Main St)</t>
  </si>
  <si>
    <t xml:space="preserve"> RR Tracks Caution: Bad angle</t>
  </si>
  <si>
    <t xml:space="preserve"> 134.40°</t>
  </si>
  <si>
    <t xml:space="preserve"> N40° 21.64'</t>
  </si>
  <si>
    <t xml:space="preserve"> W76° 15.65'</t>
  </si>
  <si>
    <t>RR Tracks Caution: Bad angle</t>
  </si>
  <si>
    <t xml:space="preserve"> Linden St (mini mart on left)</t>
  </si>
  <si>
    <t xml:space="preserve"> 131.18°</t>
  </si>
  <si>
    <t xml:space="preserve"> N40° 21.55'</t>
  </si>
  <si>
    <t xml:space="preserve"> W76° 15.52'</t>
  </si>
  <si>
    <t>Linden St (mini mart on left)</t>
  </si>
  <si>
    <t xml:space="preserve"> 254.52°</t>
  </si>
  <si>
    <t xml:space="preserve"> N40° 21.28'</t>
  </si>
  <si>
    <t xml:space="preserve"> W76° 15.11'</t>
  </si>
  <si>
    <t xml:space="preserve"> Millbach Rd</t>
  </si>
  <si>
    <t xml:space="preserve"> 191.46°</t>
  </si>
  <si>
    <t xml:space="preserve"> N40° 21.23'</t>
  </si>
  <si>
    <t xml:space="preserve"> W76° 15.33'</t>
  </si>
  <si>
    <t>Millbach Rd</t>
  </si>
  <si>
    <t xml:space="preserve"> Rt 419</t>
  </si>
  <si>
    <t xml:space="preserve"> 143.15°</t>
  </si>
  <si>
    <t xml:space="preserve"> N40° 21.04'</t>
  </si>
  <si>
    <t xml:space="preserve"> W76° 15.38'</t>
  </si>
  <si>
    <t>Rt 419</t>
  </si>
  <si>
    <t xml:space="preserve"> S Millbach Rd (unmarked)</t>
  </si>
  <si>
    <t xml:space="preserve"> 54.79°</t>
  </si>
  <si>
    <t xml:space="preserve"> N40° 20.01'</t>
  </si>
  <si>
    <t xml:space="preserve"> W76° 14.37'</t>
  </si>
  <si>
    <t>S Millbach Rd (unmarked)</t>
  </si>
  <si>
    <t xml:space="preserve"> Rt 897 [Kleinfeltersville]</t>
  </si>
  <si>
    <t xml:space="preserve"> 192.73°</t>
  </si>
  <si>
    <t xml:space="preserve"> N40° 20.04'</t>
  </si>
  <si>
    <t xml:space="preserve"> W76° 14.31'</t>
  </si>
  <si>
    <t>Rt 897 [Kleinfeltersville]</t>
  </si>
  <si>
    <t xml:space="preserve"> 187.42 mi</t>
  </si>
  <si>
    <t xml:space="preserve"> 72.71°</t>
  </si>
  <si>
    <t xml:space="preserve"> N40° 59.27'</t>
  </si>
  <si>
    <t xml:space="preserve"> W77° 25.56'</t>
  </si>
  <si>
    <t>Rt 477 South / Bull Run Rd (don't miss or else you end up on Rt 447 north)</t>
  </si>
  <si>
    <t xml:space="preserve"> Rt 192 East</t>
  </si>
  <si>
    <t xml:space="preserve"> 3.63 mi</t>
  </si>
  <si>
    <t xml:space="preserve"> 192.96 mi</t>
  </si>
  <si>
    <t xml:space="preserve"> 144.12°</t>
  </si>
  <si>
    <t xml:space="preserve"> N41° 0.68'</t>
  </si>
  <si>
    <t xml:space="preserve"> W77° 19.54'</t>
  </si>
  <si>
    <t>Rt 192 East</t>
  </si>
  <si>
    <t xml:space="preserve"> Rt 15 (TFL) (now on Buffalo Rd) [Lewisburg]</t>
  </si>
  <si>
    <t xml:space="preserve"> 23.04 mi</t>
  </si>
  <si>
    <t xml:space="preserve"> 196.59 mi</t>
  </si>
  <si>
    <t xml:space="preserve"> 92.40°</t>
  </si>
  <si>
    <t xml:space="preserve"> N40° 58.82'</t>
  </si>
  <si>
    <t xml:space="preserve"> W77° 17.75'</t>
  </si>
  <si>
    <t>Rt 15 (TFL) (now on Buffalo Rd) [Lewisburg]</t>
  </si>
  <si>
    <t xml:space="preserve"> (SS) St Anthony St (NOT hard left onto 4th)</t>
  </si>
  <si>
    <t xml:space="preserve"> 219.63 mi</t>
  </si>
  <si>
    <t xml:space="preserve"> 93.90°</t>
  </si>
  <si>
    <t xml:space="preserve"> N40° 58.01'</t>
  </si>
  <si>
    <t>(SS) St Anthony St (NOT hard left onto 4th)</t>
  </si>
  <si>
    <t xml:space="preserve"> (TFL) Rt 15 now on Hospital Dr</t>
  </si>
  <si>
    <t xml:space="preserve"> 219.90 mi</t>
  </si>
  <si>
    <t xml:space="preserve"> 9.89°</t>
  </si>
  <si>
    <t xml:space="preserve"> N40° 58.04'</t>
  </si>
  <si>
    <t xml:space="preserve"> W76° 53.27'</t>
  </si>
  <si>
    <t>(TFL) Rt 15 now on Hospital Dr</t>
  </si>
  <si>
    <t xml:space="preserve"> Walter Dr</t>
  </si>
  <si>
    <t xml:space="preserve"> 220.98 mi</t>
  </si>
  <si>
    <t xml:space="preserve"> 301.85°</t>
  </si>
  <si>
    <t xml:space="preserve"> N40° 58.79'</t>
  </si>
  <si>
    <t xml:space="preserve"> W76° 53.10'</t>
  </si>
  <si>
    <t>Walter Dr</t>
  </si>
  <si>
    <t xml:space="preserve"> Controle Country Inn &amp; Suites on left {Restaurant Fast Food}</t>
  </si>
  <si>
    <t xml:space="preserve"> 221.15 mi</t>
  </si>
  <si>
    <t xml:space="preserve"> 12.61°</t>
  </si>
  <si>
    <t xml:space="preserve"> N40° 58.86'</t>
  </si>
  <si>
    <t xml:space="preserve"> W76° 53.26'</t>
  </si>
  <si>
    <t>Controle Country Inn &amp; Suites on left {Restaurant Fast Food}</t>
  </si>
  <si>
    <t xml:space="preserve"> Lewisburg Country Inn &amp; Suites</t>
  </si>
  <si>
    <t xml:space="preserve"> 221.26 mi</t>
  </si>
  <si>
    <t xml:space="preserve"> 288.44°</t>
  </si>
  <si>
    <t xml:space="preserve"> W76° 53.23'</t>
  </si>
  <si>
    <t xml:space="preserve"> TRO Middle Creek Rd (Wissler Rd goes right)</t>
  </si>
  <si>
    <t xml:space="preserve"> 0.93 mi</t>
  </si>
  <si>
    <t xml:space="preserve"> 98.16°</t>
  </si>
  <si>
    <t xml:space="preserve"> N40° 12.11'</t>
  </si>
  <si>
    <t xml:space="preserve"> W76° 15.60'</t>
  </si>
  <si>
    <t xml:space="preserve"> W75° 47.18'</t>
  </si>
  <si>
    <t>Deka Rd {General Store}</t>
  </si>
  <si>
    <t xml:space="preserve"> Ruth Rd</t>
  </si>
  <si>
    <t xml:space="preserve"> 136.11°</t>
  </si>
  <si>
    <t xml:space="preserve"> N40° 28.61'</t>
  </si>
  <si>
    <t xml:space="preserve"> W75° 46.91'</t>
  </si>
  <si>
    <t>Ruth Rd</t>
  </si>
  <si>
    <t xml:space="preserve"> 195.31°</t>
  </si>
  <si>
    <t xml:space="preserve"> N40° 28.20'</t>
  </si>
  <si>
    <t xml:space="preserve"> W75° 46.40'</t>
  </si>
  <si>
    <t xml:space="preserve"> Controle Rebersburg Monument on left Jct Main St / Walnut St  (Answer info question){Store}</t>
  </si>
  <si>
    <t xml:space="preserve"> 14.56 mi</t>
  </si>
  <si>
    <t xml:space="preserve"> 62.24°</t>
  </si>
  <si>
    <t>Controle Rebersburg Monument on left Jct Main St / Walnut St  (Answer info question){Store}</t>
  </si>
  <si>
    <t xml:space="preserve"> Leave controle turning left on Rt 192 (same direction)</t>
  </si>
  <si>
    <t xml:space="preserve"> 153.24 mi</t>
  </si>
  <si>
    <t xml:space="preserve"> 355.59°</t>
  </si>
  <si>
    <t xml:space="preserve"> N40° 56.71'</t>
  </si>
  <si>
    <t xml:space="preserve"> W77° 26.59'</t>
  </si>
  <si>
    <t>Leave controle turning left on Rt 192 (same direction)</t>
  </si>
  <si>
    <t xml:space="preserve"> 153.26 mi</t>
  </si>
  <si>
    <t xml:space="preserve"> 86.84°</t>
  </si>
  <si>
    <t xml:space="preserve"> N40° 56.73'</t>
  </si>
  <si>
    <t xml:space="preserve"> 184.17 mi</t>
  </si>
  <si>
    <t xml:space="preserve"> 184.36 mi</t>
  </si>
  <si>
    <t xml:space="preserve"> 184.45 mi</t>
  </si>
  <si>
    <t xml:space="preserve"> 185.48 mi</t>
  </si>
  <si>
    <t xml:space="preserve"> 185.66 mi</t>
  </si>
  <si>
    <t xml:space="preserve"> 185.80 mi</t>
  </si>
  <si>
    <t>Rebersburg Monument</t>
  </si>
  <si>
    <t>Jct Rt 192 and Walnut St, Rebersburg, PA</t>
  </si>
  <si>
    <t xml:space="preserve"> (SS) 3rd St TRO St Anthony b/c River Rd ahead at bend</t>
  </si>
  <si>
    <t xml:space="preserve"> 219.82 mi</t>
  </si>
  <si>
    <t xml:space="preserve"> 54.46°</t>
  </si>
  <si>
    <t xml:space="preserve"> N40° 58.00'</t>
  </si>
  <si>
    <t xml:space="preserve">          close: 08/09 04:00</t>
  </si>
  <si>
    <t xml:space="preserve">  271mi    open: 08/08 17:20</t>
  </si>
  <si>
    <t xml:space="preserve">          close: 08/09 09:04</t>
  </si>
  <si>
    <t xml:space="preserve">  295mi    open: 08/08 18:38</t>
  </si>
  <si>
    <t xml:space="preserve">          close: 08/09 11:40</t>
  </si>
  <si>
    <t xml:space="preserve">  366mi    open: 08/08 22:26</t>
  </si>
  <si>
    <t xml:space="preserve">          close: 08/09 19:16</t>
  </si>
  <si>
    <t xml:space="preserve">  446mi    open: 08/09 03:01</t>
  </si>
  <si>
    <t xml:space="preserve">          close: 08/10 06:20</t>
  </si>
  <si>
    <t xml:space="preserve">  732mi    open: 08/09 19:56</t>
  </si>
  <si>
    <t xml:space="preserve">          close: 08/11 20:21</t>
  </si>
  <si>
    <t xml:space="preserve">  771mi    open: 08/09 22:19</t>
  </si>
  <si>
    <t xml:space="preserve">          close: 08/12 01:00</t>
  </si>
  <si>
    <t xml:space="preserve"> N40° 50.88'</t>
  </si>
  <si>
    <t xml:space="preserve"> W77° 41.28'</t>
  </si>
  <si>
    <t xml:space="preserve"> N40° 47.66'</t>
  </si>
  <si>
    <t xml:space="preserve"> N40° 47.28'</t>
  </si>
  <si>
    <t xml:space="preserve"> W77° 45.49'</t>
  </si>
  <si>
    <t xml:space="preserve"> W77° 47.29'</t>
  </si>
  <si>
    <t xml:space="preserve"> 3.52 mi</t>
  </si>
  <si>
    <t xml:space="preserve"> N40° 46.44'</t>
  </si>
  <si>
    <t xml:space="preserve"> W77° 48.72'</t>
  </si>
  <si>
    <t xml:space="preserve"> W77° 52.17'</t>
  </si>
  <si>
    <t xml:space="preserve"> N40° 42.90'</t>
  </si>
  <si>
    <t xml:space="preserve"> N40° 23.20'</t>
  </si>
  <si>
    <t xml:space="preserve"> W77° 52.97'</t>
  </si>
  <si>
    <t xml:space="preserve"> W77° 52.74'</t>
  </si>
  <si>
    <t xml:space="preserve"> N40° 23.05'</t>
  </si>
  <si>
    <t xml:space="preserve"> 1.38 mi</t>
  </si>
  <si>
    <t xml:space="preserve"> N40° 22.34'</t>
  </si>
  <si>
    <t xml:space="preserve"> W77° 51.08'</t>
  </si>
  <si>
    <t xml:space="preserve"> W77° 50.13'</t>
  </si>
  <si>
    <t xml:space="preserve"> 10.05 mi</t>
  </si>
  <si>
    <t xml:space="preserve"> N40° 23.43'</t>
  </si>
  <si>
    <t xml:space="preserve"> W77° 50.02'</t>
  </si>
  <si>
    <t xml:space="preserve"> 2.39 mi</t>
  </si>
  <si>
    <t xml:space="preserve"> (SS) Rt 235 TRO Fairview Rd</t>
  </si>
  <si>
    <t>(SS) Rt 235 TRO Fairview Rd</t>
  </si>
  <si>
    <t xml:space="preserve"> 4.84 mi</t>
  </si>
  <si>
    <t xml:space="preserve"> N40° 47.31'</t>
  </si>
  <si>
    <t xml:space="preserve"> W77° 2.61'</t>
  </si>
  <si>
    <t xml:space="preserve"> N40° 47.73'</t>
  </si>
  <si>
    <t xml:space="preserve"> W77° 2.80'</t>
  </si>
  <si>
    <t xml:space="preserve"> N40° 52.47'</t>
  </si>
  <si>
    <t xml:space="preserve"> W76° 59.17'</t>
  </si>
  <si>
    <t xml:space="preserve"> N40° 52.71'</t>
  </si>
  <si>
    <t xml:space="preserve"> W76° 59.20'</t>
  </si>
  <si>
    <t xml:space="preserve"> 1.23 mi</t>
  </si>
  <si>
    <t xml:space="preserve"> W76° 58.13'</t>
  </si>
  <si>
    <t xml:space="preserve"> N40° 57.99'</t>
  </si>
  <si>
    <t xml:space="preserve"> N40° 58.88'</t>
  </si>
  <si>
    <t xml:space="preserve"> W76° 53.24'</t>
  </si>
  <si>
    <t xml:space="preserve"> W76° 53.20'</t>
  </si>
  <si>
    <t>Rebersburg Gas Station</t>
  </si>
  <si>
    <t>Rt 192, Rebersburg, PA</t>
  </si>
  <si>
    <t>TRO Amishtown Rd (crossing Voganville Rd)</t>
  </si>
  <si>
    <t xml:space="preserve"> Shirk Rd</t>
  </si>
  <si>
    <t xml:space="preserve"> 110.09°</t>
  </si>
  <si>
    <t xml:space="preserve"> N40° 6.49'</t>
  </si>
  <si>
    <t xml:space="preserve"> W76° 7.63'</t>
  </si>
  <si>
    <t>Shirk Rd</t>
  </si>
  <si>
    <t xml:space="preserve"> Controle Scheetz (TFL) at junction of Shirk Rd &amp; Rt 23</t>
  </si>
  <si>
    <t xml:space="preserve"> 180.76°</t>
  </si>
  <si>
    <t xml:space="preserve"> N40° 6.24'</t>
  </si>
  <si>
    <t xml:space="preserve"> W76° 6.76'</t>
  </si>
  <si>
    <t>Morgantown Rd (TFL) [Morgantown]</t>
  </si>
  <si>
    <t xml:space="preserve"> 1.19 mi</t>
  </si>
  <si>
    <t xml:space="preserve"> 43.54°</t>
  </si>
  <si>
    <t>Metal Grate Bridge (Caution)</t>
  </si>
  <si>
    <t xml:space="preserve"> Morgan Way (on right)</t>
  </si>
  <si>
    <t xml:space="preserve"> 67.89°</t>
  </si>
  <si>
    <t xml:space="preserve"> N40° 9.86'</t>
  </si>
  <si>
    <t xml:space="preserve"> W75° 52.72'</t>
  </si>
  <si>
    <t xml:space="preserve"> Harmonyville Rd (just past "Entering Union Township")</t>
  </si>
  <si>
    <t xml:space="preserve"> 2.36 mi</t>
  </si>
  <si>
    <t xml:space="preserve"> 72.13°</t>
  </si>
  <si>
    <t>Harmonyville Rd (just past "Entering Union Township")</t>
  </si>
  <si>
    <t xml:space="preserve"> 1.45 mi</t>
  </si>
  <si>
    <t xml:space="preserve"> 89.23°</t>
  </si>
  <si>
    <t xml:space="preserve"> N40° 11.02'</t>
  </si>
  <si>
    <t xml:space="preserve"> W75° 48.62'</t>
  </si>
  <si>
    <t xml:space="preserve"> 0.85 mi</t>
  </si>
  <si>
    <t xml:space="preserve"> 67.35°</t>
  </si>
  <si>
    <t xml:space="preserve"> N40° 11.03'</t>
  </si>
  <si>
    <t xml:space="preserve"> W75° 47.09'</t>
  </si>
  <si>
    <t xml:space="preserve"> Metal Grate Bridge</t>
  </si>
  <si>
    <t xml:space="preserve"> N40° 11.32'</t>
  </si>
  <si>
    <t xml:space="preserve"> W75° 46.20'</t>
  </si>
  <si>
    <t>Metal Grate Bridge</t>
  </si>
  <si>
    <t xml:space="preserve"> X / Caution</t>
  </si>
  <si>
    <t xml:space="preserve"> TRO Harmonyville Rd (SS) (at School Rd) [Harmonyville]</t>
  </si>
  <si>
    <t>TRO Harmonyville Rd (SS) (at School Rd) [Harmonyville]</t>
  </si>
  <si>
    <t xml:space="preserve"> Rt 4041/ Harmonyville Rd (at Jones)</t>
  </si>
  <si>
    <t xml:space="preserve"> 85.23°</t>
  </si>
  <si>
    <t xml:space="preserve"> W77° 16.66'</t>
  </si>
  <si>
    <t xml:space="preserve"> 254.47°</t>
  </si>
  <si>
    <t xml:space="preserve"> N41° 26.23'</t>
  </si>
  <si>
    <t xml:space="preserve"> W77° 16.80'</t>
  </si>
  <si>
    <t xml:space="preserve"> Rt 44 [Waterville]</t>
  </si>
  <si>
    <t xml:space="preserve"> N41° 26.12'</t>
  </si>
  <si>
    <t xml:space="preserve"> W77° 17.31'</t>
  </si>
  <si>
    <t>Rt 44 [Waterville]</t>
  </si>
  <si>
    <t xml:space="preserve"> N41° 18.58'</t>
  </si>
  <si>
    <t xml:space="preserve"> W77° 21.79'</t>
  </si>
  <si>
    <t xml:space="preserve"> N40° 44.92'</t>
  </si>
  <si>
    <t>TRO Walnut Dr (at Murphy Rd)</t>
  </si>
  <si>
    <t xml:space="preserve"> TRO Walnut Dr (at Dogwood Rd)</t>
  </si>
  <si>
    <t xml:space="preserve"> 337.43°</t>
  </si>
  <si>
    <t xml:space="preserve"> N40° 45.51'</t>
  </si>
  <si>
    <t xml:space="preserve"> W75° 30.55'</t>
  </si>
  <si>
    <t>TRO Walnut Dr (at Dogwood Rd)</t>
  </si>
  <si>
    <t xml:space="preserve"> 330.58°</t>
  </si>
  <si>
    <t xml:space="preserve"> N40° 46.50'</t>
  </si>
  <si>
    <t xml:space="preserve"> W75° 31.09'</t>
  </si>
  <si>
    <t xml:space="preserve"> N40° 46.92'</t>
  </si>
  <si>
    <t xml:space="preserve"> W75° 31.41'</t>
  </si>
  <si>
    <t xml:space="preserve"> Little Gap top</t>
  </si>
  <si>
    <t xml:space="preserve"> 265.24°</t>
  </si>
  <si>
    <t>Little Gap</t>
  </si>
  <si>
    <t xml:space="preserve"> N40° 48.49'</t>
  </si>
  <si>
    <t xml:space="preserve"> W75° 32.12'</t>
  </si>
  <si>
    <t xml:space="preserve"> 4.03 mi</t>
  </si>
  <si>
    <t xml:space="preserve"> 85.22°</t>
  </si>
  <si>
    <t xml:space="preserve"> N40° 49.51'</t>
  </si>
  <si>
    <t xml:space="preserve"> W75° 26.84'</t>
  </si>
  <si>
    <t>Carbondale city limit (now on Wayne St) Steep descent ahead</t>
  </si>
  <si>
    <t xml:space="preserve"> N41° 41.02'</t>
  </si>
  <si>
    <t xml:space="preserve"> W75° 37.07'</t>
  </si>
  <si>
    <t>Rt 81 TRO Rt 106</t>
  </si>
  <si>
    <t xml:space="preserve"> 301.73°</t>
  </si>
  <si>
    <t xml:space="preserve"> N41° 42.58'</t>
  </si>
  <si>
    <t xml:space="preserve"> W75° 40.24'</t>
  </si>
  <si>
    <t xml:space="preserve"> 46.39°</t>
  </si>
  <si>
    <t xml:space="preserve"> N41° 42.67'</t>
  </si>
  <si>
    <t xml:space="preserve"> W75° 40.43'</t>
  </si>
  <si>
    <t xml:space="preserve"> ***Q L</t>
  </si>
  <si>
    <t xml:space="preserve"> Joining Rt 547 North [Hartford]</t>
  </si>
  <si>
    <t xml:space="preserve"> 5.10 mi</t>
  </si>
  <si>
    <t xml:space="preserve"> 342.81°</t>
  </si>
  <si>
    <t xml:space="preserve"> N41° 42.70'</t>
  </si>
  <si>
    <t xml:space="preserve"> W75° 40.39'</t>
  </si>
  <si>
    <t>Joining Rt 547 North [Hartford]</t>
  </si>
  <si>
    <t xml:space="preserve"> Rt 2063 / Fair Hill Rd (leaving Rt 547 which goes right)</t>
  </si>
  <si>
    <t xml:space="preserve"> 12.79°</t>
  </si>
  <si>
    <t xml:space="preserve"> N41° 46.78'</t>
  </si>
  <si>
    <t xml:space="preserve"> W75° 42.08'</t>
  </si>
  <si>
    <t>Rt 2063 / Fair Hill Rd (leaving Rt 547 which goes right)</t>
  </si>
  <si>
    <t xml:space="preserve"> 4.43 mi</t>
  </si>
  <si>
    <t xml:space="preserve"> 351.95°</t>
  </si>
  <si>
    <t xml:space="preserve"> N41° 46.99'</t>
  </si>
  <si>
    <t xml:space="preserve"> W75° 42.02'</t>
  </si>
  <si>
    <t xml:space="preserve"> 2.24 mi</t>
  </si>
  <si>
    <t xml:space="preserve"> 338.11°</t>
  </si>
  <si>
    <t xml:space="preserve"> N41° 50.59'</t>
  </si>
  <si>
    <t xml:space="preserve"> W75° 42.70'</t>
  </si>
  <si>
    <t xml:space="preserve"> 0.92 mi</t>
  </si>
  <si>
    <t xml:space="preserve"> 0.18°</t>
  </si>
  <si>
    <t xml:space="preserve"> N41° 52.30'</t>
  </si>
  <si>
    <t xml:space="preserve"> W75° 43.62'</t>
  </si>
  <si>
    <t xml:space="preserve"> Rt 1018 / Old Rt 11 (Look for "To 81" sign on right)</t>
  </si>
  <si>
    <t xml:space="preserve"> 0.81 mi</t>
  </si>
  <si>
    <t xml:space="preserve"> 344.23°</t>
  </si>
  <si>
    <t xml:space="preserve"> N41° 53.10'</t>
  </si>
  <si>
    <t>TRO Middle Creek Rd (Wissler Rd goes right)</t>
  </si>
  <si>
    <t xml:space="preserve"> TRO Middle Creek Rd (Wissler Rd goes left)</t>
  </si>
  <si>
    <t xml:space="preserve"> 78.26°</t>
  </si>
  <si>
    <t xml:space="preserve"> N40° 12.01'</t>
  </si>
  <si>
    <t xml:space="preserve"> W76° 14.65'</t>
  </si>
  <si>
    <t>TRO Middle Creek Rd (Wissler Rd goes left)</t>
  </si>
  <si>
    <t xml:space="preserve"> TRO Middle Creek Rd (crossing Lincoln Rd)</t>
  </si>
  <si>
    <t xml:space="preserve"> 164.45°</t>
  </si>
  <si>
    <t xml:space="preserve"> N40° 12.03'</t>
  </si>
  <si>
    <t xml:space="preserve"> W76° 14.55'</t>
  </si>
  <si>
    <t>TRO Middle Creek Rd (crossing Lincoln Rd)</t>
  </si>
  <si>
    <t xml:space="preserve"> Meadow Valley Rd (SS)</t>
  </si>
  <si>
    <t xml:space="preserve"> 1.66 mi</t>
  </si>
  <si>
    <t xml:space="preserve"> 174.55°</t>
  </si>
  <si>
    <t xml:space="preserve"> N40° 11.25'</t>
  </si>
  <si>
    <t xml:space="preserve"> W76° 14.26'</t>
  </si>
  <si>
    <t>Meadow Valley Rd (SS)</t>
  </si>
  <si>
    <t xml:space="preserve"> Cocalico Rd</t>
  </si>
  <si>
    <t xml:space="preserve"> 185.69°</t>
  </si>
  <si>
    <t xml:space="preserve"> N40° 10.05'</t>
  </si>
  <si>
    <t xml:space="preserve"> W76° 14.11'</t>
  </si>
  <si>
    <t xml:space="preserve"> Rothsville Rd</t>
  </si>
  <si>
    <t xml:space="preserve"> 103.61°</t>
  </si>
  <si>
    <t xml:space="preserve"> N40° 9.70'</t>
  </si>
  <si>
    <t xml:space="preserve"> W76° 14.16'</t>
  </si>
  <si>
    <t>Rothsville Rd</t>
  </si>
  <si>
    <t xml:space="preserve"> Millway Rd</t>
  </si>
  <si>
    <t xml:space="preserve"> 61.93°</t>
  </si>
  <si>
    <t xml:space="preserve"> N40° 9.58'</t>
  </si>
  <si>
    <t xml:space="preserve"> W76° 13.51'</t>
  </si>
  <si>
    <t xml:space="preserve"> Rt 1041 James St (cross bridge)</t>
  </si>
  <si>
    <t xml:space="preserve"> 13.06 mi</t>
  </si>
  <si>
    <t xml:space="preserve"> 163.81°</t>
  </si>
  <si>
    <t xml:space="preserve"> N41° 57.51'</t>
  </si>
  <si>
    <t xml:space="preserve"> W76° 30.41'</t>
  </si>
  <si>
    <t>Rt 1041 James St (cross bridge)</t>
  </si>
  <si>
    <t xml:space="preserve"> 159.88°</t>
  </si>
  <si>
    <t xml:space="preserve"> W76° 8.52'</t>
  </si>
  <si>
    <t>Amishtown Rd (at 5-way intersection)</t>
  </si>
  <si>
    <t xml:space="preserve"> 2nd L</t>
  </si>
  <si>
    <t xml:space="preserve"> TRO Amishtown Rd (crossing Voganville Rd)</t>
  </si>
  <si>
    <t xml:space="preserve"> 100.34°</t>
  </si>
  <si>
    <t xml:space="preserve"> N40° 6.58'</t>
  </si>
  <si>
    <t xml:space="preserve"> W76° 8.31'</t>
  </si>
  <si>
    <t xml:space="preserve"> 235.60°</t>
  </si>
  <si>
    <t xml:space="preserve"> N41° 47.53'</t>
  </si>
  <si>
    <t xml:space="preserve"> W76° 26.52'</t>
  </si>
  <si>
    <t xml:space="preserve"> 1.78 mi</t>
  </si>
  <si>
    <t xml:space="preserve"> N41° 47.18'</t>
  </si>
  <si>
    <t xml:space="preserve"> W76° 27.20'</t>
  </si>
  <si>
    <t xml:space="preserve"> N41° 45.73'</t>
  </si>
  <si>
    <t xml:space="preserve"> W76° 26.60'</t>
  </si>
  <si>
    <t xml:space="preserve"> N41° 39.29'</t>
  </si>
  <si>
    <t xml:space="preserve"> W76° 51.01'</t>
  </si>
  <si>
    <t xml:space="preserve"> W76° 51.03'</t>
  </si>
  <si>
    <t xml:space="preserve"> 221.82°</t>
  </si>
  <si>
    <t xml:space="preserve"> N41° 39.24'</t>
  </si>
  <si>
    <t xml:space="preserve"> W76° 51.16'</t>
  </si>
  <si>
    <t xml:space="preserve"> TRO Rt 414 (at Gleason Rd) [Gleason]</t>
  </si>
  <si>
    <t xml:space="preserve"> N41° 38.37'</t>
  </si>
  <si>
    <t xml:space="preserve"> W76° 52.19'</t>
  </si>
  <si>
    <t>TRO Rt 414 (at Gleason Rd) [Gleason]</t>
  </si>
  <si>
    <t xml:space="preserve"> 243.59°</t>
  </si>
  <si>
    <t xml:space="preserve"> N41° 36.94'</t>
  </si>
  <si>
    <t xml:space="preserve"> W76° 58.24'</t>
  </si>
  <si>
    <t xml:space="preserve"> TRO Rt 414</t>
  </si>
  <si>
    <t xml:space="preserve"> 224.52°</t>
  </si>
  <si>
    <t xml:space="preserve"> N41° 34.08'</t>
  </si>
  <si>
    <t xml:space="preserve"> W77° 5.93'</t>
  </si>
  <si>
    <t>TRO Rt 414</t>
  </si>
  <si>
    <t xml:space="preserve"> 189.54°</t>
  </si>
  <si>
    <t xml:space="preserve"> N41° 33.85'</t>
  </si>
  <si>
    <t xml:space="preserve"> W77° 6.23'</t>
  </si>
  <si>
    <t xml:space="preserve"> Rt 15 junction (now on  Rt 284)</t>
  </si>
  <si>
    <t xml:space="preserve"> 207.09°</t>
  </si>
  <si>
    <t xml:space="preserve"> N41° 33.49'</t>
  </si>
  <si>
    <t xml:space="preserve"> W77° 6.31'</t>
  </si>
  <si>
    <t>Rt 15 junction (now on  Rt 284)</t>
  </si>
  <si>
    <t xml:space="preserve"> Rt 287 [English Center]</t>
  </si>
  <si>
    <t xml:space="preserve"> 246.65°</t>
  </si>
  <si>
    <t xml:space="preserve"> N41° 29.66'</t>
  </si>
  <si>
    <t xml:space="preserve"> W77° 8.93'</t>
  </si>
  <si>
    <t>Rt 287 [English Center]</t>
  </si>
  <si>
    <t xml:space="preserve"> 186.74°</t>
  </si>
  <si>
    <t xml:space="preserve"> N41° 27.16'</t>
  </si>
  <si>
    <t xml:space="preserve"> Poplar St (1st SS)</t>
  </si>
  <si>
    <t xml:space="preserve"> TRO Harmonyville Rd / Rt 4018 (SS) (X Rt 345) Disregard Road Closed</t>
  </si>
  <si>
    <t>TRO Harmonyville Rd / Rt 4018 (SS) (X Rt 345) Disregard Road Closed</t>
  </si>
  <si>
    <t xml:space="preserve"> 32.59°</t>
  </si>
  <si>
    <t xml:space="preserve"> (unmarked) Hopewell Rd (SS)</t>
  </si>
  <si>
    <t xml:space="preserve"> 79.05 mi</t>
  </si>
  <si>
    <t xml:space="preserve"> 31.34°</t>
  </si>
  <si>
    <t xml:space="preserve"> N40° 11.75'</t>
  </si>
  <si>
    <t xml:space="preserve"> W75° 45.84'</t>
  </si>
  <si>
    <t>(unmarked) Hopewell Rd (SS)</t>
  </si>
  <si>
    <t xml:space="preserve"> 1.50 mi</t>
  </si>
  <si>
    <t xml:space="preserve"> 79.83 mi</t>
  </si>
  <si>
    <t xml:space="preserve"> 130.52°</t>
  </si>
  <si>
    <t xml:space="preserve"> N40° 12.25'</t>
  </si>
  <si>
    <t xml:space="preserve"> W75° 45.44'</t>
  </si>
  <si>
    <t xml:space="preserve"> 81.33 mi</t>
  </si>
  <si>
    <t xml:space="preserve"> 97.00°</t>
  </si>
  <si>
    <t xml:space="preserve"> N40° 11.44'</t>
  </si>
  <si>
    <t xml:space="preserve"> W75° 44.19'</t>
  </si>
  <si>
    <t xml:space="preserve"> 82.04 mi</t>
  </si>
  <si>
    <t xml:space="preserve"> 82.68 mi</t>
  </si>
  <si>
    <t xml:space="preserve"> 85.27 mi</t>
  </si>
  <si>
    <t xml:space="preserve"> 86.04 mi</t>
  </si>
  <si>
    <t xml:space="preserve"> 87.23 mi</t>
  </si>
  <si>
    <t xml:space="preserve"> 88.78 mi</t>
  </si>
  <si>
    <t xml:space="preserve"> 89.60 mi</t>
  </si>
  <si>
    <t xml:space="preserve"> 92.23 mi</t>
  </si>
  <si>
    <t xml:space="preserve"> Bethesda Rd (begin Harmonyville detour)</t>
  </si>
  <si>
    <t>Bethesda Rd (begin Harmonyville detour)</t>
  </si>
  <si>
    <t xml:space="preserve"> Rt 4018 / Harmonyville Rd (SS) (end Harmonyville detour)</t>
  </si>
  <si>
    <t>Rt 4018 / Harmonyville Rd (SS) (end Harmonyville detour)</t>
  </si>
  <si>
    <t xml:space="preserve"> 285.90°</t>
  </si>
  <si>
    <t xml:space="preserve"> N41° 8.28'</t>
  </si>
  <si>
    <t xml:space="preserve"> W77° 26.53'</t>
  </si>
  <si>
    <t xml:space="preserve"> 328.61°</t>
  </si>
  <si>
    <t xml:space="preserve"> N41° 8.53'</t>
  </si>
  <si>
    <t xml:space="preserve"> W77° 27.68'</t>
  </si>
  <si>
    <t xml:space="preserve"> 219.89°</t>
  </si>
  <si>
    <t xml:space="preserve"> N41° 8.81'</t>
  </si>
  <si>
    <t xml:space="preserve"> W77° 27.92'</t>
  </si>
  <si>
    <t xml:space="preserve"> Beech Creek Ave</t>
  </si>
  <si>
    <t xml:space="preserve"> 0.29 mi</t>
  </si>
  <si>
    <t xml:space="preserve"> 86.27°</t>
  </si>
  <si>
    <t xml:space="preserve"> N41° 6.71'</t>
  </si>
  <si>
    <t xml:space="preserve"> W77° 30.25'</t>
  </si>
  <si>
    <t>Beech Creek Ave</t>
  </si>
  <si>
    <t xml:space="preserve"> 0.61 mi</t>
  </si>
  <si>
    <t xml:space="preserve"> 102.23°</t>
  </si>
  <si>
    <t xml:space="preserve"> N41° 6.73'</t>
  </si>
  <si>
    <t xml:space="preserve"> W77° 29.93'</t>
  </si>
  <si>
    <t xml:space="preserve"> 175.78°</t>
  </si>
  <si>
    <t xml:space="preserve"> N41° 6.62'</t>
  </si>
  <si>
    <t xml:space="preserve"> W77° 29.26'</t>
  </si>
  <si>
    <t xml:space="preserve"> Jacksonvill Rd / Rt 2018</t>
  </si>
  <si>
    <t xml:space="preserve"> 0.01 mi</t>
  </si>
  <si>
    <t xml:space="preserve"> 1.96 mi</t>
  </si>
  <si>
    <t xml:space="preserve"> 170.29°</t>
  </si>
  <si>
    <t xml:space="preserve"> N41° 6.41'</t>
  </si>
  <si>
    <t xml:space="preserve"> W77° 29.24'</t>
  </si>
  <si>
    <t>Jacksonvill Rd / Rt 2018</t>
  </si>
  <si>
    <t xml:space="preserve"> 224.94°</t>
  </si>
  <si>
    <t xml:space="preserve"> N41° 4.82'</t>
  </si>
  <si>
    <t xml:space="preserve"> W77° 28.88'</t>
  </si>
  <si>
    <t xml:space="preserve"> 41.97°</t>
  </si>
  <si>
    <t xml:space="preserve"> N40° 51.12'</t>
  </si>
  <si>
    <t xml:space="preserve"> 1.64 mi</t>
  </si>
  <si>
    <t xml:space="preserve"> 41.16°</t>
  </si>
  <si>
    <t xml:space="preserve"> 160.39°</t>
  </si>
  <si>
    <t xml:space="preserve"> Cherry Valley Apiaries</t>
  </si>
  <si>
    <t xml:space="preserve"> 2.57 mi</t>
  </si>
  <si>
    <t xml:space="preserve"> 49.26°</t>
  </si>
  <si>
    <t xml:space="preserve"> W75° 18.63'</t>
  </si>
  <si>
    <t>Cherry Valley Apiaries</t>
  </si>
  <si>
    <t xml:space="preserve"> N40° 54.40'</t>
  </si>
  <si>
    <t xml:space="preserve"> W75° 16.55'</t>
  </si>
  <si>
    <t xml:space="preserve"> 2.63 mi</t>
  </si>
  <si>
    <t xml:space="preserve"> Appalachian Trail (at top of climb)</t>
  </si>
  <si>
    <t xml:space="preserve"> N41° 58.05'</t>
  </si>
  <si>
    <t xml:space="preserve"> W75° 44.45'</t>
  </si>
  <si>
    <t xml:space="preserve"> N41° 59.89'</t>
  </si>
  <si>
    <t xml:space="preserve"> Milford Square Pike (just before Exxon)</t>
  </si>
  <si>
    <t xml:space="preserve"> 79.60°</t>
  </si>
  <si>
    <t xml:space="preserve"> Rt 663 / John Fries Hwy (TFL) Almost there!</t>
  </si>
  <si>
    <t xml:space="preserve"> 23.02 mi</t>
  </si>
  <si>
    <t>Rt 663 / John Fries Hwy (TFL) Almost there!</t>
  </si>
  <si>
    <t xml:space="preserve"> Gap St / Rt 4011</t>
  </si>
  <si>
    <t xml:space="preserve"> 1.85 mi</t>
  </si>
  <si>
    <t>Dotterers Rd.."Lamar 3"...on downhill</t>
  </si>
  <si>
    <t xml:space="preserve"> Controle Flying-J Truck stop (driveway on left just before Rt 64 Jct {Truck Stop Restaurant}</t>
  </si>
  <si>
    <t xml:space="preserve"> 175.15 mi</t>
  </si>
  <si>
    <t xml:space="preserve"> 99.31°</t>
  </si>
  <si>
    <t xml:space="preserve"> N41° 1.86'</t>
  </si>
  <si>
    <t xml:space="preserve"> W77° 33.66'</t>
  </si>
  <si>
    <t xml:space="preserve"> Leave controle using exit at TFL turning right on Rt 64 south {Limited services ahead}</t>
  </si>
  <si>
    <t xml:space="preserve"> 177.85 mi</t>
  </si>
  <si>
    <t xml:space="preserve"> 94.40°</t>
  </si>
  <si>
    <t xml:space="preserve"> N41° 1.58'</t>
  </si>
  <si>
    <t xml:space="preserve"> W77° 31.42'</t>
  </si>
  <si>
    <t>Leave controle using exit at TFL turning right on Rt 64 south {Limited services ahead}</t>
  </si>
  <si>
    <t xml:space="preserve"> Silver Ave.."Clintendale"...fire station on right</t>
  </si>
  <si>
    <t xml:space="preserve"> 177.87 mi</t>
  </si>
  <si>
    <t xml:space="preserve"> 211.13°</t>
  </si>
  <si>
    <t xml:space="preserve"> W77° 31.40'</t>
  </si>
  <si>
    <t>Silver Ave.."Clintendale"...fire station on right</t>
  </si>
  <si>
    <t xml:space="preserve"> Furnance Rd</t>
  </si>
  <si>
    <t xml:space="preserve"> 178.68 mi</t>
  </si>
  <si>
    <t xml:space="preserve"> 160.66°</t>
  </si>
  <si>
    <t xml:space="preserve"> N41° 0.98'</t>
  </si>
  <si>
    <t xml:space="preserve"> W77° 31.88'</t>
  </si>
  <si>
    <t>Furnance Rd</t>
  </si>
  <si>
    <t xml:space="preserve"> TR</t>
  </si>
  <si>
    <t xml:space="preserve"> (SS) Narrows Rd / Rt 2002 ... "Tylersville 8"</t>
  </si>
  <si>
    <t xml:space="preserve"> 178.98 mi</t>
  </si>
  <si>
    <t xml:space="preserve"> 216.42°</t>
  </si>
  <si>
    <t xml:space="preserve"> N41° 0.73'</t>
  </si>
  <si>
    <t xml:space="preserve"> W77° 31.77'</t>
  </si>
  <si>
    <t>(SS) Narrows Rd / Rt 2002 ... "Tylersville 8"</t>
  </si>
  <si>
    <t xml:space="preserve"> Valley Rd / Rt 880 South [Tylersville]..."Rebersburg 4"...880 North DETOUR also goes right here</t>
  </si>
  <si>
    <t xml:space="preserve"> 7.67 mi</t>
  </si>
  <si>
    <t xml:space="preserve"> 179.56 mi</t>
  </si>
  <si>
    <t xml:space="preserve"> 100.15°</t>
  </si>
  <si>
    <t xml:space="preserve"> N41° 0.34'</t>
  </si>
  <si>
    <t xml:space="preserve"> W77° 32.16'</t>
  </si>
  <si>
    <t>Valley Rd / Rt 880 South [Tylersville]..."Rebersburg 4"...880 North DETOUR also goes right here</t>
  </si>
  <si>
    <t xml:space="preserve"> Winter Rd</t>
  </si>
  <si>
    <t xml:space="preserve"> 187.23 mi</t>
  </si>
  <si>
    <t xml:space="preserve"> 188.99°</t>
  </si>
  <si>
    <t xml:space="preserve"> W77° 25.52'</t>
  </si>
  <si>
    <t>Winter Rd</t>
  </si>
  <si>
    <t xml:space="preserve"> Rt 477 South / Bull Run Rd (don't miss or else you end up on Rt 447 north)</t>
  </si>
  <si>
    <t xml:space="preserve"> 5.54 mi</t>
  </si>
  <si>
    <t xml:space="preserve"> (TFL) Housels Run Rd {MiniMart}</t>
  </si>
  <si>
    <t xml:space="preserve"> 1.58 mi</t>
  </si>
  <si>
    <t xml:space="preserve"> 92.49°</t>
  </si>
  <si>
    <t>(TFL) Housels Run Rd {MiniMart}</t>
  </si>
  <si>
    <t xml:space="preserve"> Rt 405</t>
  </si>
  <si>
    <t xml:space="preserve"> 3.08 mi</t>
  </si>
  <si>
    <t xml:space="preserve"> 187.86°</t>
  </si>
  <si>
    <t xml:space="preserve"> N40° 57.93'</t>
  </si>
  <si>
    <t xml:space="preserve"> W76° 51.06'</t>
  </si>
  <si>
    <t>Rt 405</t>
  </si>
  <si>
    <t xml:space="preserve"> 4.82 mi</t>
  </si>
  <si>
    <t xml:space="preserve"> 139.60°</t>
  </si>
  <si>
    <t xml:space="preserve"> N40° 56.49'</t>
  </si>
  <si>
    <t xml:space="preserve"> W76° 51.32'</t>
  </si>
  <si>
    <t xml:space="preserve"> 5.19 mi</t>
  </si>
  <si>
    <t xml:space="preserve"> 9.93 mi</t>
  </si>
  <si>
    <t xml:space="preserve"> 10.09 mi</t>
  </si>
  <si>
    <t xml:space="preserve"> 10.90 mi</t>
  </si>
  <si>
    <t xml:space="preserve"> 13.29 mi</t>
  </si>
  <si>
    <t xml:space="preserve"> 26.85 mi</t>
  </si>
  <si>
    <t xml:space="preserve"> 26.89 mi</t>
  </si>
  <si>
    <t xml:space="preserve"> 225.83°</t>
  </si>
  <si>
    <t>Rt 22 underpass</t>
  </si>
  <si>
    <t xml:space="preserve"> 47.03 mi</t>
  </si>
  <si>
    <t xml:space="preserve"> 240.56°</t>
  </si>
  <si>
    <t xml:space="preserve"> STOP </t>
  </si>
  <si>
    <t xml:space="preserve"> Leave controle turning left on Rt 35 out of driveway {Limited services ahead}</t>
  </si>
  <si>
    <t xml:space="preserve"> 47.33 mi</t>
  </si>
  <si>
    <t xml:space="preserve"> 264.44°</t>
  </si>
  <si>
    <t>Leave controle turning left on Rt 35 out of driveway {Limited services ahead}</t>
  </si>
  <si>
    <t xml:space="preserve"> 47.34 mi</t>
  </si>
  <si>
    <t xml:space="preserve"> FMR TRO Rt 333 / Licking St ('no trucks' sign)</t>
  </si>
  <si>
    <t xml:space="preserve"> 359.86°</t>
  </si>
  <si>
    <t>FMR TRO Rt 333 / Licking St ('no trucks' sign)</t>
  </si>
  <si>
    <t xml:space="preserve"> TRO Rt 333 / Foster St</t>
  </si>
  <si>
    <t xml:space="preserve"> 261.96°</t>
  </si>
  <si>
    <t>TRO Rt 333 / Foster St</t>
  </si>
  <si>
    <t xml:space="preserve"> (SS) Rt 103 South</t>
  </si>
  <si>
    <t xml:space="preserve"> 12.34 mi</t>
  </si>
  <si>
    <t>(SS) Rt 103 South</t>
  </si>
  <si>
    <t xml:space="preserve"> sharp L</t>
  </si>
  <si>
    <t xml:space="preserve"> ***BL</t>
  </si>
  <si>
    <t xml:space="preserve"> (SS) Rt 103</t>
  </si>
  <si>
    <t xml:space="preserve"> 221.01°</t>
  </si>
  <si>
    <t>(SS) Rt 103</t>
  </si>
  <si>
    <t xml:space="preserve"> Rt 3021 / Bridge St (look for bridge crossing Juniata River to Newton Hamilton)</t>
  </si>
  <si>
    <t xml:space="preserve"> 222.88°</t>
  </si>
  <si>
    <t>Rt 3021 / Bridge St (look for bridge crossing Juniata River to Newton Hamilton)</t>
  </si>
  <si>
    <t xml:space="preserve"> 322.60°</t>
  </si>
  <si>
    <t xml:space="preserve"> 211.19°</t>
  </si>
  <si>
    <t xml:space="preserve"> 303.36°</t>
  </si>
  <si>
    <t xml:space="preserve"> (SS) Joining E Pennsylvania Ave (and becomes narrow one-way lane)</t>
  </si>
  <si>
    <t xml:space="preserve"> 284.50°</t>
  </si>
  <si>
    <t xml:space="preserve"> N40° 22.97'</t>
  </si>
  <si>
    <t xml:space="preserve"> W77° 52.34'</t>
  </si>
  <si>
    <t>(SS) Joining E Pennsylvania Ave (and becomes narrow one-way lane)</t>
  </si>
  <si>
    <t xml:space="preserve"> (SS) Rt 747 / N Jefferson St</t>
  </si>
  <si>
    <t xml:space="preserve"> 302.92°</t>
  </si>
  <si>
    <t>(SS) Rt 747 / N Jefferson St</t>
  </si>
  <si>
    <t>Dandy Mini Market (607) 699-3538</t>
  </si>
  <si>
    <t>814 W River Rd, Nichols, NY</t>
  </si>
  <si>
    <t>Dandy Mini Mart 5 (570) 265-6380</t>
  </si>
  <si>
    <t>McConnell's Store (570) 753-8241</t>
  </si>
  <si>
    <t>10853 Rt 44, Waterville, PA</t>
  </si>
  <si>
    <t>Flying J Travel Plaza (570) 726-4080</t>
  </si>
  <si>
    <t>5609  Nittany Valley Dr / Rt 64, Lamar, PA</t>
  </si>
  <si>
    <t>Country Inn &amp; Suites (570) 524-6600</t>
  </si>
  <si>
    <t>134 Walter Dr, Lewisburg, PA</t>
  </si>
  <si>
    <t xml:space="preserve"> Leave hotel parking lot turning right on Walter Dr</t>
  </si>
  <si>
    <t xml:space="preserve"> N40° 58.98'</t>
  </si>
  <si>
    <t>Leave hotel parking lot turning right on Walter Dr</t>
  </si>
  <si>
    <t xml:space="preserve"> (unmarked) Hospital Dr (SS)</t>
  </si>
  <si>
    <t>(unmarked) Hospital Dr (SS)</t>
  </si>
  <si>
    <t xml:space="preserve"> (TFL) Rt 15 now on River Rd</t>
  </si>
  <si>
    <t>(TFL) Rt 15 now on River Rd</t>
  </si>
  <si>
    <t xml:space="preserve"> N40° 58.77'</t>
  </si>
  <si>
    <t xml:space="preserve"> W76° 53.11'</t>
  </si>
  <si>
    <t xml:space="preserve"> BR</t>
  </si>
  <si>
    <t xml:space="preserve"> 1.47 mi</t>
  </si>
  <si>
    <t xml:space="preserve"> N40° 58.02'</t>
  </si>
  <si>
    <t xml:space="preserve"> W76° 53.36'</t>
  </si>
  <si>
    <t xml:space="preserve"> N40° 58.03'</t>
  </si>
  <si>
    <t xml:space="preserve"> W76° 53.58'</t>
  </si>
  <si>
    <t>Controle Start - Leave driveway turning right onto Rt 663 {Breakfast 1-hr before start}</t>
  </si>
  <si>
    <t xml:space="preserve"> (SS) Allentown Rd (b/c Locust Valley Rd then Linden Rd ahead)</t>
  </si>
  <si>
    <t>(SS) Allentown Rd (b/c Locust Valley Rd then Linden Rd ahead)</t>
  </si>
  <si>
    <t xml:space="preserve"> (SS) Main St [Coopersburg]</t>
  </si>
  <si>
    <t>(SS) Main St [Coopersburg]</t>
  </si>
  <si>
    <t xml:space="preserve"> (TFL) Rt 309 b/c Rt 378</t>
  </si>
  <si>
    <t xml:space="preserve"> 359.49°</t>
  </si>
  <si>
    <t>(TFL) Rt 309 b/c Rt 378</t>
  </si>
  <si>
    <t xml:space="preserve"> (TFL) Rt 412 / Broadway Ave {MiniiMarts Dunkin Donuts}</t>
  </si>
  <si>
    <t xml:space="preserve"> 8.44 mi</t>
  </si>
  <si>
    <t xml:space="preserve"> 112.03°</t>
  </si>
  <si>
    <t xml:space="preserve"> N40° 38.16'</t>
  </si>
  <si>
    <t xml:space="preserve"> W76° 34.88'</t>
  </si>
  <si>
    <t>Gap St / Rt 4011</t>
  </si>
  <si>
    <t xml:space="preserve"> RR Tracks (Caution)</t>
  </si>
  <si>
    <t xml:space="preserve"> 3.32 mi</t>
  </si>
  <si>
    <t xml:space="preserve"> 96.41°</t>
  </si>
  <si>
    <t xml:space="preserve"> N40° 37.59'</t>
  </si>
  <si>
    <t xml:space="preserve"> W76° 33.04'</t>
  </si>
  <si>
    <t>RR Tracks (Caution)</t>
  </si>
  <si>
    <t xml:space="preserve"> N40° 47.99'</t>
  </si>
  <si>
    <t xml:space="preserve"> W77° 45.76'</t>
  </si>
  <si>
    <t>Appalachian Trail (at top of climb)</t>
  </si>
  <si>
    <t xml:space="preserve"> Fox Gap Rd</t>
  </si>
  <si>
    <t xml:space="preserve"> 226.91°</t>
  </si>
  <si>
    <t xml:space="preserve"> N40° 56.12'</t>
  </si>
  <si>
    <t xml:space="preserve"> W75° 11.83'</t>
  </si>
  <si>
    <t>Fox Gap Rd</t>
  </si>
  <si>
    <t xml:space="preserve"> Quaker Plain Rd</t>
  </si>
  <si>
    <t xml:space="preserve"> 0.49 mi</t>
  </si>
  <si>
    <t xml:space="preserve"> 192.71°</t>
  </si>
  <si>
    <t xml:space="preserve"> N40° 55.97'</t>
  </si>
  <si>
    <t xml:space="preserve"> W75° 12.04'</t>
  </si>
  <si>
    <t>Quaker Plain Rd</t>
  </si>
  <si>
    <t xml:space="preserve"> N40° 55.61'</t>
  </si>
  <si>
    <t xml:space="preserve"> W75° 12.15'</t>
  </si>
  <si>
    <t xml:space="preserve"> 0.82 mi</t>
  </si>
  <si>
    <t xml:space="preserve"> 114.50°</t>
  </si>
  <si>
    <t xml:space="preserve"> N40° 55.41'</t>
  </si>
  <si>
    <t xml:space="preserve"> W75° 11.66'</t>
  </si>
  <si>
    <t xml:space="preserve"> 0.45 mi</t>
  </si>
  <si>
    <t xml:space="preserve"> 166.15°</t>
  </si>
  <si>
    <t xml:space="preserve"> N40° 55.16'</t>
  </si>
  <si>
    <t xml:space="preserve"> W75° 10.91'</t>
  </si>
  <si>
    <t xml:space="preserve"> 115.99°</t>
  </si>
  <si>
    <t xml:space="preserve"> N40° 54.79'</t>
  </si>
  <si>
    <t xml:space="preserve"> 74.24°</t>
  </si>
  <si>
    <t xml:space="preserve"> N40° 54.61'</t>
  </si>
  <si>
    <t xml:space="preserve"> W75° 10.30'</t>
  </si>
  <si>
    <t xml:space="preserve"> Ramblewood Dr</t>
  </si>
  <si>
    <t xml:space="preserve"> 168.20°</t>
  </si>
  <si>
    <t xml:space="preserve"> N40° 54.81'</t>
  </si>
  <si>
    <t xml:space="preserve"> W75° 9.35'</t>
  </si>
  <si>
    <t>Ramblewood Dr</t>
  </si>
  <si>
    <t xml:space="preserve"> 66.46°</t>
  </si>
  <si>
    <t xml:space="preserve"> N40° 54.52'</t>
  </si>
  <si>
    <t xml:space="preserve"> W75° 9.27'</t>
  </si>
  <si>
    <t xml:space="preserve"> TRO Million Dollar Hwy b/c Jacoby Creek Rd (RR tracks on right)</t>
  </si>
  <si>
    <t xml:space="preserve"> 1.18 mi</t>
  </si>
  <si>
    <t xml:space="preserve"> 115.80°</t>
  </si>
  <si>
    <t xml:space="preserve"> N40° 54.89'</t>
  </si>
  <si>
    <t xml:space="preserve"> W75° 8.15'</t>
  </si>
  <si>
    <t>TRO Million Dollar Hwy b/c Jacoby Creek Rd (RR tracks on right)</t>
  </si>
  <si>
    <t xml:space="preserve"> 42.03°</t>
  </si>
  <si>
    <t xml:space="preserve"> N40° 54.45'</t>
  </si>
  <si>
    <t xml:space="preserve"> W75° 6.95'</t>
  </si>
  <si>
    <t xml:space="preserve"> (unmarked) Boulder Dr / Creek Rd</t>
  </si>
  <si>
    <t xml:space="preserve"> 327.53°</t>
  </si>
  <si>
    <t xml:space="preserve"> N40° 54.92'</t>
  </si>
  <si>
    <t xml:space="preserve"> W75° 6.39'</t>
  </si>
  <si>
    <t>(unmarked) Boulder Dr / Creek Rd</t>
  </si>
  <si>
    <t xml:space="preserve"> State St</t>
  </si>
  <si>
    <t xml:space="preserve"> 62.45°</t>
  </si>
  <si>
    <t xml:space="preserve"> N40° 54.95'</t>
  </si>
  <si>
    <t xml:space="preserve"> W75° 6.42'</t>
  </si>
  <si>
    <t>State St</t>
  </si>
  <si>
    <t xml:space="preserve"> 45.75°</t>
  </si>
  <si>
    <t xml:space="preserve"> N40° 55.11'</t>
  </si>
  <si>
    <t xml:space="preserve"> W75° 6.02'</t>
  </si>
  <si>
    <t xml:space="preserve"> 333.44°</t>
  </si>
  <si>
    <t xml:space="preserve"> N40° 55.30'</t>
  </si>
  <si>
    <t xml:space="preserve"> W75° 5.76'</t>
  </si>
  <si>
    <t xml:space="preserve"> N40° 55.50'</t>
  </si>
  <si>
    <t xml:space="preserve"> W75° 5.89'</t>
  </si>
  <si>
    <t>TL</t>
  </si>
  <si>
    <t xml:space="preserve"> Backtrack</t>
  </si>
  <si>
    <t xml:space="preserve"> 0.06 mi</t>
  </si>
  <si>
    <t xml:space="preserve"> 0.42 mi</t>
  </si>
  <si>
    <t xml:space="preserve"> 0.50 mi</t>
  </si>
  <si>
    <t xml:space="preserve"> 0.53 mi</t>
  </si>
  <si>
    <t xml:space="preserve"> 0.35 mi</t>
  </si>
  <si>
    <t xml:space="preserve"> 1.54 mi</t>
  </si>
  <si>
    <t xml:space="preserve"> 0.05 mi</t>
  </si>
  <si>
    <t xml:space="preserve"> 0.52 mi</t>
  </si>
  <si>
    <t xml:space="preserve"> 0.20 mi</t>
  </si>
  <si>
    <t xml:space="preserve"> 0.34 mi</t>
  </si>
  <si>
    <t xml:space="preserve"> 0.18 mi</t>
  </si>
  <si>
    <t xml:space="preserve"> 2.43 mi</t>
  </si>
  <si>
    <t xml:space="preserve"> ***1st L</t>
  </si>
  <si>
    <t xml:space="preserve"> 1.09 mi</t>
  </si>
  <si>
    <t xml:space="preserve"> 0.55 mi</t>
  </si>
  <si>
    <t xml:space="preserve"> 1.13 mi</t>
  </si>
  <si>
    <t xml:space="preserve"> 0.10 mi</t>
  </si>
  <si>
    <t xml:space="preserve"> 0.71 mi</t>
  </si>
  <si>
    <t xml:space="preserve"> 0.12 mi</t>
  </si>
  <si>
    <t xml:space="preserve"> 70.02°</t>
  </si>
  <si>
    <t xml:space="preserve"> 0.33 mi</t>
  </si>
  <si>
    <t xml:space="preserve"> W75° 10.71'</t>
  </si>
  <si>
    <t xml:space="preserve"> START</t>
  </si>
  <si>
    <t xml:space="preserve"> 0.58 mi</t>
  </si>
  <si>
    <t xml:space="preserve"> 0.94 mi</t>
  </si>
  <si>
    <t xml:space="preserve"> Q R</t>
  </si>
  <si>
    <t xml:space="preserve"> 0.95 mi</t>
  </si>
  <si>
    <t xml:space="preserve"> 0.28 mi</t>
  </si>
  <si>
    <t xml:space="preserve"> 3.34 mi</t>
  </si>
  <si>
    <t xml:space="preserve"> 0.38 mi</t>
  </si>
  <si>
    <t xml:space="preserve"> 0.15 mi</t>
  </si>
  <si>
    <t xml:space="preserve"> Western Ave (TFL)</t>
  </si>
  <si>
    <t>Western Ave (TFL)</t>
  </si>
  <si>
    <t xml:space="preserve"> Weaverland Rd (note: follow Bike-S for next several turns)</t>
  </si>
  <si>
    <t>Weaverland Rd (note: follow Bike-S for next several turns)</t>
  </si>
  <si>
    <t>Rt 1018 / Old Rt 11 (Look for "To 81" sign on right)</t>
  </si>
  <si>
    <t xml:space="preserve"> 4.04 mi</t>
  </si>
  <si>
    <t xml:space="preserve"> 351.04°</t>
  </si>
  <si>
    <t xml:space="preserve"> N41° 53.77'</t>
  </si>
  <si>
    <t xml:space="preserve"> W75° 43.88'</t>
  </si>
  <si>
    <t xml:space="preserve"> Susquehanna River bridge TRO Rt 11 [Hallstead]</t>
  </si>
  <si>
    <t xml:space="preserve"> 4.78°</t>
  </si>
  <si>
    <t xml:space="preserve"> N41° 57.18'</t>
  </si>
  <si>
    <t xml:space="preserve"> W75° 44.60'</t>
  </si>
  <si>
    <t>Susquehanna River bridge TRO Rt 11 [Hallstead]</t>
  </si>
  <si>
    <t xml:space="preserve"> 14.97°</t>
  </si>
  <si>
    <t xml:space="preserve"> N41° 57.81'</t>
  </si>
  <si>
    <t xml:space="preserve"> W75° 44.52'</t>
  </si>
  <si>
    <t xml:space="preserve"> 102.41°</t>
  </si>
  <si>
    <t xml:space="preserve"> N41° 58.03'</t>
  </si>
  <si>
    <t xml:space="preserve"> W75° 44.44'</t>
  </si>
  <si>
    <t xml:space="preserve"> 37.42°</t>
  </si>
  <si>
    <t xml:space="preserve"> 5.89 mi</t>
  </si>
  <si>
    <t xml:space="preserve"> 11.16 mi</t>
  </si>
  <si>
    <t xml:space="preserve"> 13.58 mi</t>
  </si>
  <si>
    <t xml:space="preserve"> 15.22 mi</t>
  </si>
  <si>
    <t xml:space="preserve"> 15.77 mi</t>
  </si>
  <si>
    <t xml:space="preserve"> 18.34 mi</t>
  </si>
  <si>
    <t>Gourmet Gallery (908) 362-0051</t>
  </si>
  <si>
    <t>31 Main St, Blairstown, NJ</t>
  </si>
  <si>
    <t>Dunkin Donuts (570) 282-3364</t>
  </si>
  <si>
    <t>40 S. Main St., Carbondale, PA</t>
  </si>
  <si>
    <t>Colonial Brick Inn &amp; Suites (570) 879-2162</t>
  </si>
  <si>
    <t>Rt 11 &amp; I-81 at Exit 230, Hallstead, PA</t>
  </si>
  <si>
    <t xml:space="preserve">Acorn Market (570) 673-8404 </t>
  </si>
  <si>
    <t>44 Main St, Canton, PA</t>
  </si>
  <si>
    <t>Controle 6 Colonial Brick Inn on left at TFL near I-81 junction</t>
  </si>
  <si>
    <t xml:space="preserve"> 352.88°</t>
  </si>
  <si>
    <t xml:space="preserve"> 327.76°</t>
  </si>
  <si>
    <t xml:space="preserve"> N41° 31.08'</t>
  </si>
  <si>
    <t xml:space="preserve"> W75° 26.40'</t>
  </si>
  <si>
    <t xml:space="preserve"> 2.18 mi</t>
  </si>
  <si>
    <t xml:space="preserve"> 304.14°</t>
  </si>
  <si>
    <t xml:space="preserve"> N41° 32.70'</t>
  </si>
  <si>
    <t xml:space="preserve"> W75° 27.76'</t>
  </si>
  <si>
    <t xml:space="preserve"> 7th Ave</t>
  </si>
  <si>
    <t xml:space="preserve"> 0.79 mi</t>
  </si>
  <si>
    <t xml:space="preserve"> 343.83°</t>
  </si>
  <si>
    <t xml:space="preserve"> N41° 33.59'</t>
  </si>
  <si>
    <t xml:space="preserve"> W75° 29.51'</t>
  </si>
  <si>
    <t>7th Ave</t>
  </si>
  <si>
    <t xml:space="preserve"> Controle Dunkin' Donuts (TFL) at 7th Ave / Main St junction</t>
  </si>
  <si>
    <t xml:space="preserve"> 273.68°</t>
  </si>
  <si>
    <t xml:space="preserve"> N41° 34.22'</t>
  </si>
  <si>
    <t xml:space="preserve"> W75° 29.76'</t>
  </si>
  <si>
    <t>Controle Dunkin' Donuts (TFL) at 7th Ave / Main St junction</t>
  </si>
  <si>
    <t xml:space="preserve"> 285.26°</t>
  </si>
  <si>
    <t xml:space="preserve"> N41° 34.24'</t>
  </si>
  <si>
    <t xml:space="preserve"> W75° 30.18'</t>
  </si>
  <si>
    <t xml:space="preserve"> N41° 34.25'</t>
  </si>
  <si>
    <t xml:space="preserve"> W75° 30.20'</t>
  </si>
  <si>
    <t xml:space="preserve"> 5.50°</t>
  </si>
  <si>
    <t xml:space="preserve"> W75° 30.25'</t>
  </si>
  <si>
    <t xml:space="preserve"> Dundaff St / Rt 1007 (just after RR tracks)</t>
  </si>
  <si>
    <t xml:space="preserve"> 4.66°</t>
  </si>
  <si>
    <t xml:space="preserve"> N42° 5.74'</t>
  </si>
  <si>
    <t xml:space="preserve"> 36.51 mi</t>
  </si>
  <si>
    <t xml:space="preserve"> N42° 6.13'</t>
  </si>
  <si>
    <t xml:space="preserve"> W76° 15.73'</t>
  </si>
  <si>
    <t xml:space="preserve"> 1.27 mi</t>
  </si>
  <si>
    <t xml:space="preserve"> N42° 5.82'</t>
  </si>
  <si>
    <t xml:space="preserve"> W76° 17.15'</t>
  </si>
  <si>
    <t xml:space="preserve"> N42° 0.61'</t>
  </si>
  <si>
    <t xml:space="preserve"> 0.57 mi</t>
  </si>
  <si>
    <t xml:space="preserve"> W77° 52.68'</t>
  </si>
  <si>
    <t xml:space="preserve"> 86.44 mi</t>
  </si>
  <si>
    <t xml:space="preserve"> ?</t>
  </si>
  <si>
    <t xml:space="preserve"> W76° 53.17'</t>
  </si>
  <si>
    <t xml:space="preserve"> (SS) (unmarked) Hospital Dr</t>
  </si>
  <si>
    <t xml:space="preserve"> 200.37°</t>
  </si>
  <si>
    <t>(SS) (unmarked) Hospital Dr</t>
  </si>
  <si>
    <t xml:space="preserve"> (SS) JPM Rd / Rt 1007</t>
  </si>
  <si>
    <t xml:space="preserve"> 298.89°</t>
  </si>
  <si>
    <t>(SS) JPM Rd / Rt 1007</t>
  </si>
  <si>
    <t xml:space="preserve"> (SS) William Penn Dr / Rt 1018</t>
  </si>
  <si>
    <t xml:space="preserve"> 194.25°</t>
  </si>
  <si>
    <t xml:space="preserve"> N40° 58.94'</t>
  </si>
  <si>
    <t xml:space="preserve"> W76° 53.39'</t>
  </si>
  <si>
    <t>(SS) William Penn Dr / Rt 1018</t>
  </si>
  <si>
    <t xml:space="preserve"> 267.72°</t>
  </si>
  <si>
    <t xml:space="preserve"> N40° 58.38'</t>
  </si>
  <si>
    <t xml:space="preserve"> N40° 58.36'</t>
  </si>
  <si>
    <t xml:space="preserve"> W76° 54.17'</t>
  </si>
  <si>
    <t xml:space="preserve"> (TFL) Fairground Rd / Rt 2007</t>
  </si>
  <si>
    <t xml:space="preserve"> 272.36°</t>
  </si>
  <si>
    <t>(TFL) Fairground Rd / Rt 2007</t>
  </si>
  <si>
    <t xml:space="preserve"> (TFL) Rt 45 TRO Fairground Rd / Rt 2007 {MiniMart}</t>
  </si>
  <si>
    <t xml:space="preserve"> 2.00 mi</t>
  </si>
  <si>
    <t xml:space="preserve"> 191.45°</t>
  </si>
  <si>
    <t xml:space="preserve"> W76° 54.34'</t>
  </si>
  <si>
    <t>(TFL) Rt 45 TRO Fairground Rd / Rt 2007 {MiniMart}</t>
  </si>
  <si>
    <t xml:space="preserve"> Smoketown Rd / Rt 2007</t>
  </si>
  <si>
    <t xml:space="preserve"> 183.41°</t>
  </si>
  <si>
    <t xml:space="preserve"> N40° 57.44'</t>
  </si>
  <si>
    <t xml:space="preserve"> W76° 54.50'</t>
  </si>
  <si>
    <t>Smoketown Rd / Rt 2007</t>
  </si>
  <si>
    <t xml:space="preserve"> (SS) Salem Church Rd / Rt 2005 (Now on Pheasant Ridge Rd)</t>
  </si>
  <si>
    <t xml:space="preserve"> 1.93 mi</t>
  </si>
  <si>
    <t xml:space="preserve"> 3.06 mi</t>
  </si>
  <si>
    <t xml:space="preserve"> 237.75°</t>
  </si>
  <si>
    <t xml:space="preserve"> N40° 57.14'</t>
  </si>
  <si>
    <t xml:space="preserve"> W76° 54.52'</t>
  </si>
  <si>
    <t>(SS) Salem Church Rd / Rt 2005 (Now on Pheasant Ridge Rd)</t>
  </si>
  <si>
    <t xml:space="preserve"> 1.68 mi</t>
  </si>
  <si>
    <t xml:space="preserve"> 248.28°</t>
  </si>
  <si>
    <t xml:space="preserve"> N40° 56.27'</t>
  </si>
  <si>
    <t xml:space="preserve"> W76° 56.35'</t>
  </si>
  <si>
    <t xml:space="preserve"> 3.93 mi</t>
  </si>
  <si>
    <t xml:space="preserve"> 6.66 mi</t>
  </si>
  <si>
    <t xml:space="preserve"> 195.00°</t>
  </si>
  <si>
    <t xml:space="preserve"> N40° 55.73'</t>
  </si>
  <si>
    <t xml:space="preserve"> 10.59 mi</t>
  </si>
  <si>
    <t xml:space="preserve"> 175.09°</t>
  </si>
  <si>
    <t xml:space="preserve"> (SS) FMR TRO New Berlin Hwy / Rt 1005</t>
  </si>
  <si>
    <t xml:space="preserve"> 10.87 mi</t>
  </si>
  <si>
    <t xml:space="preserve"> 196.97°</t>
  </si>
  <si>
    <t>(SS) FMR TRO New Berlin Hwy / Rt 1005</t>
  </si>
  <si>
    <t xml:space="preserve"> 6.64 mi</t>
  </si>
  <si>
    <t xml:space="preserve"> 11.40 mi</t>
  </si>
  <si>
    <t xml:space="preserve"> 211.05°</t>
  </si>
  <si>
    <t xml:space="preserve"> N40° 52.09'</t>
  </si>
  <si>
    <t xml:space="preserve"> W76° 59.32'</t>
  </si>
  <si>
    <t xml:space="preserve"> 161.13°</t>
  </si>
  <si>
    <t xml:space="preserve"> 18.59 mi</t>
  </si>
  <si>
    <t xml:space="preserve"> 156.22°</t>
  </si>
  <si>
    <t xml:space="preserve"> Mountain Rd / Rt 3006</t>
  </si>
  <si>
    <t xml:space="preserve"> 23.43 mi</t>
  </si>
  <si>
    <t xml:space="preserve"> 245.10°</t>
  </si>
  <si>
    <t>Mountain Rd / Rt 3006</t>
  </si>
  <si>
    <t xml:space="preserve"> 243.77°</t>
  </si>
  <si>
    <t xml:space="preserve"> 32.31 mi</t>
  </si>
  <si>
    <t xml:space="preserve"> 33.25 mi</t>
  </si>
  <si>
    <t xml:space="preserve"> 248.74°</t>
  </si>
  <si>
    <t xml:space="preserve"> 247.18°</t>
  </si>
  <si>
    <t xml:space="preserve"> TRO Red Bank Rd / Rt 543</t>
  </si>
  <si>
    <t xml:space="preserve"> 249.43°</t>
  </si>
  <si>
    <t xml:space="preserve"> W77° 22.31'</t>
  </si>
  <si>
    <t xml:space="preserve"> 2.06 mi</t>
  </si>
  <si>
    <t xml:space="preserve"> W77° 21.23'</t>
  </si>
  <si>
    <t xml:space="preserve"> 0.56 mi</t>
  </si>
  <si>
    <t>(TFL) Rt 412 / Broadway Ave {MiniiMarts Dunkin Donuts}</t>
  </si>
  <si>
    <t xml:space="preserve"> (TFL) W 4th St </t>
  </si>
  <si>
    <t xml:space="preserve"> 14.16 mi</t>
  </si>
  <si>
    <t xml:space="preserve">(TFL) W 4th St </t>
  </si>
  <si>
    <t xml:space="preserve"> (TFL) New St  CAUTION: RR ahead</t>
  </si>
  <si>
    <t>(TFL) New St  CAUTION: RR ahead</t>
  </si>
  <si>
    <t xml:space="preserve"> 14.53 mi</t>
  </si>
  <si>
    <t xml:space="preserve"> 14.87 mi</t>
  </si>
  <si>
    <t xml:space="preserve"> (TFL) Maacada Rd Caution RR at bottom of descent</t>
  </si>
  <si>
    <t xml:space="preserve"> 15.01 mi</t>
  </si>
  <si>
    <t>(TFL) Maacada Rd Caution RR at bottom of descent</t>
  </si>
  <si>
    <t xml:space="preserve"> (TFL) Jacksonville Rd</t>
  </si>
  <si>
    <t xml:space="preserve"> 17.72 mi</t>
  </si>
  <si>
    <t>(TFL) Jacksonville Rd</t>
  </si>
  <si>
    <t xml:space="preserve"> Hanoverville Rd</t>
  </si>
  <si>
    <t xml:space="preserve"> 2.26 mi</t>
  </si>
  <si>
    <t xml:space="preserve"> 18.81 mi</t>
  </si>
  <si>
    <t xml:space="preserve"> 343.89°</t>
  </si>
  <si>
    <t>Hanoverville Rd</t>
  </si>
  <si>
    <t xml:space="preserve"> (TFL) Airport Rd / Rt 987 (joining Snowdrift Rd)</t>
  </si>
  <si>
    <t xml:space="preserve"> 21.06 mi</t>
  </si>
  <si>
    <t xml:space="preserve"> 275.71°</t>
  </si>
  <si>
    <t xml:space="preserve"> N40° 40.95'</t>
  </si>
  <si>
    <t xml:space="preserve"> W75° 24.58'</t>
  </si>
  <si>
    <t>(TFL) Airport Rd / Rt 987 (joining Snowdrift Rd)</t>
  </si>
  <si>
    <t xml:space="preserve"> Colony Dr</t>
  </si>
  <si>
    <t xml:space="preserve"> 21.36 mi</t>
  </si>
  <si>
    <t xml:space="preserve"> 339.59°</t>
  </si>
  <si>
    <t xml:space="preserve"> N40° 40.98'</t>
  </si>
  <si>
    <t>Colony Dr</t>
  </si>
  <si>
    <t xml:space="preserve"> Weaversville Rd</t>
  </si>
  <si>
    <t xml:space="preserve"> 1.52 mi</t>
  </si>
  <si>
    <t xml:space="preserve"> 21.50 mi</t>
  </si>
  <si>
    <t xml:space="preserve"> 266.94°</t>
  </si>
  <si>
    <t xml:space="preserve"> N40° 41.09'</t>
  </si>
  <si>
    <t xml:space="preserve"> W75° 24.98'</t>
  </si>
  <si>
    <t>Weaversville Rd</t>
  </si>
  <si>
    <t xml:space="preserve"> Walnut St</t>
  </si>
  <si>
    <t xml:space="preserve"> 308.00°</t>
  </si>
  <si>
    <t xml:space="preserve"> N40° 41.02'</t>
  </si>
  <si>
    <t xml:space="preserve"> W75° 26.69'</t>
  </si>
  <si>
    <t>Walnut St</t>
  </si>
  <si>
    <t xml:space="preserve"> Nor Bath Blvd / Rt 329</t>
  </si>
  <si>
    <t xml:space="preserve"> 23.64 mi</t>
  </si>
  <si>
    <t xml:space="preserve"> 1.95°</t>
  </si>
  <si>
    <t xml:space="preserve"> N40° 41.34'</t>
  </si>
  <si>
    <t xml:space="preserve"> W75° 27.23'</t>
  </si>
  <si>
    <t>Nor Bath Blvd / Rt 329</t>
  </si>
  <si>
    <t xml:space="preserve"> TL</t>
  </si>
  <si>
    <t xml:space="preserve"> Rt 3021 / Seemsville Rd</t>
  </si>
  <si>
    <t xml:space="preserve"> 262.54°</t>
  </si>
  <si>
    <t xml:space="preserve"> N40° 41.87'</t>
  </si>
  <si>
    <t xml:space="preserve"> W75° 27.21'</t>
  </si>
  <si>
    <t>Rt 3021 / Seemsville Rd</t>
  </si>
  <si>
    <t xml:space="preserve"> 24.50 mi</t>
  </si>
  <si>
    <t xml:space="preserve"> 359.98°</t>
  </si>
  <si>
    <t xml:space="preserve"> N40° 41.84'</t>
  </si>
  <si>
    <t xml:space="preserve"> W75° 27.49'</t>
  </si>
  <si>
    <t xml:space="preserve"> Howertown Rd</t>
  </si>
  <si>
    <t xml:space="preserve"> 1.56 mi</t>
  </si>
  <si>
    <t xml:space="preserve"> 26.23 mi</t>
  </si>
  <si>
    <t xml:space="preserve"> 256.46°</t>
  </si>
  <si>
    <t xml:space="preserve"> N40° 43.33'</t>
  </si>
  <si>
    <t>Howertown Rd</t>
  </si>
  <si>
    <t xml:space="preserve"> 27.79 mi</t>
  </si>
  <si>
    <t xml:space="preserve"> 287.21°</t>
  </si>
  <si>
    <t xml:space="preserve"> N40° 43.02'</t>
  </si>
  <si>
    <t xml:space="preserve"> W75° 29.20'</t>
  </si>
  <si>
    <t xml:space="preserve"> 28.21 mi</t>
  </si>
  <si>
    <t xml:space="preserve"> (TFL) Walnut Dr / Rt 4003</t>
  </si>
  <si>
    <t xml:space="preserve"> 30.85 mi</t>
  </si>
  <si>
    <t>(TFL) Walnut Dr / Rt 4003</t>
  </si>
  <si>
    <t xml:space="preserve"> 31.20 mi</t>
  </si>
  <si>
    <t xml:space="preserve"> 31.99 mi</t>
  </si>
  <si>
    <t xml:space="preserve"> Rt 4018 / Elm Rd</t>
  </si>
  <si>
    <t xml:space="preserve"> 33.57 mi</t>
  </si>
  <si>
    <t>Rt 4018 / Elm Rd</t>
  </si>
  <si>
    <t xml:space="preserve"> Blue Mountain Dr / Rt 4001</t>
  </si>
  <si>
    <t xml:space="preserve"> 34.16 mi</t>
  </si>
  <si>
    <t xml:space="preserve"> 251.66°</t>
  </si>
  <si>
    <t>Blue Mountain Dr / Rt 4001</t>
  </si>
  <si>
    <t xml:space="preserve"> (TFL) Rt 946 / Mountain View Rd</t>
  </si>
  <si>
    <t xml:space="preserve"> 1.00 mi</t>
  </si>
  <si>
    <t xml:space="preserve"> 34.38 mi</t>
  </si>
  <si>
    <t xml:space="preserve"> 343.28°</t>
  </si>
  <si>
    <t xml:space="preserve"> N40° 46.86'</t>
  </si>
  <si>
    <t xml:space="preserve"> W75° 31.64'</t>
  </si>
  <si>
    <t>(TFL) Rt 946 / Mountain View Rd</t>
  </si>
  <si>
    <t xml:space="preserve"> Controle Shell Mini Mart (on right) {MiniMart}</t>
  </si>
  <si>
    <t xml:space="preserve"> 35.38 mi</t>
  </si>
  <si>
    <t xml:space="preserve"> 259.16°</t>
  </si>
  <si>
    <t xml:space="preserve"> W75° 31.97'</t>
  </si>
  <si>
    <t>Controle Shell Mini Mart (on right) {MiniMart}</t>
  </si>
  <si>
    <t xml:space="preserve"> Leave driveway turning left onto Rt 946 (reverse direction) {Limited services ahead}</t>
  </si>
  <si>
    <t xml:space="preserve"> 35.45 mi</t>
  </si>
  <si>
    <t xml:space="preserve"> N40° 47.68'</t>
  </si>
  <si>
    <t>Leave driveway turning left onto Rt 946 (reverse direction) {Limited services ahead}</t>
  </si>
  <si>
    <t xml:space="preserve"> Appalachian Trail (at top of climb) CAUTION on descent</t>
  </si>
  <si>
    <t>Appalachian Trail (at top of climb) CAUTION on descent</t>
  </si>
  <si>
    <t>Shell Station (610) 767-3786</t>
  </si>
  <si>
    <t>4024 Mountain View Dr / Rt 946, Danielsville, PA</t>
  </si>
  <si>
    <t xml:space="preserve"> Lower Smith Gap Rd / Rt 3002 (bottom of descent)</t>
  </si>
  <si>
    <t>Lower Smith Gap Rd / Rt 3002 (bottom of descent)</t>
  </si>
  <si>
    <t xml:space="preserve"> TRO Lower Smith Gap Rd / Rt 3002 (at Schaffer Rd)</t>
  </si>
  <si>
    <t>TRO Lower Smith Gap Rd / Rt 3002 (at Schaffer Rd)</t>
  </si>
  <si>
    <t xml:space="preserve"> TRO Rt 3002 / Upper Smith Gap Rd (3-way Jct).."15 MPH" turn (Mountain Rd goes straight)</t>
  </si>
  <si>
    <t>TRO Rt 3002 / Upper Smith Gap Rd (3-way Jct).."15 MPH" turn (Mountain Rd goes straight)</t>
  </si>
  <si>
    <t xml:space="preserve"> Rt 3015 / Mt Eaton Rd (SS) now on Faulstick Rd {Wind Gap vista on right}</t>
  </si>
  <si>
    <t>Rt 3015 / Mt Eaton Rd (SS) now on Faulstick Rd {Wind Gap vista on right}</t>
  </si>
  <si>
    <t>(SS) Rt 1056 TRO Rt 1043 ***CAUTION*** Road closed ahead but passable by foot. Watch for road debris and washouts.</t>
  </si>
  <si>
    <t>Rt 31 (at bottom of descent).."Glen Spey 5"</t>
  </si>
  <si>
    <t xml:space="preserve"> 5.33 mi</t>
  </si>
  <si>
    <t xml:space="preserve"> 90.83 mi</t>
  </si>
  <si>
    <t xml:space="preserve"> 320.65°</t>
  </si>
  <si>
    <t xml:space="preserve"> N41° 25.58'</t>
  </si>
  <si>
    <t xml:space="preserve"> W74° 45.42'</t>
  </si>
  <si>
    <t xml:space="preserve"> Controle The Corner (on right at TFL junction Rt 55){Deli}</t>
  </si>
  <si>
    <t xml:space="preserve"> 5.24 mi</t>
  </si>
  <si>
    <t xml:space="preserve"> 312.87°</t>
  </si>
  <si>
    <t xml:space="preserve"> N41° 28.70'</t>
  </si>
  <si>
    <t xml:space="preserve"> W74° 48.83'</t>
  </si>
  <si>
    <t>Controle The Corner (on right at TFL junction Rt 55){Deli}</t>
  </si>
  <si>
    <t xml:space="preserve"> Leave controle turning right on Rt 55 (towards Bethany Church)</t>
  </si>
  <si>
    <t xml:space="preserve"> 101.39 mi</t>
  </si>
  <si>
    <t xml:space="preserve"> N41° 31.63'</t>
  </si>
  <si>
    <t xml:space="preserve"> W74° 53.04'</t>
  </si>
  <si>
    <t>Leave controle turning right on Rt 55 (towards Bethany Church)</t>
  </si>
  <si>
    <t xml:space="preserve"> (TFL) (unmarked) Rt 97 (Jct Rt 434)  [Barryville NY]{Store}</t>
  </si>
  <si>
    <t xml:space="preserve"> 101.43 mi</t>
  </si>
  <si>
    <t xml:space="preserve"> 201.47°</t>
  </si>
  <si>
    <t xml:space="preserve"> N41° 31.61'</t>
  </si>
  <si>
    <t xml:space="preserve"> W74° 53.08'</t>
  </si>
  <si>
    <t>(TFL) (unmarked) Rt 97 (Jct Rt 434)  [Barryville NY]{Store}</t>
  </si>
  <si>
    <t xml:space="preserve"> (unmarked) Roebling bridge / Rt 168 (ride bike across bridge)</t>
  </si>
  <si>
    <t xml:space="preserve"> 4.10 mi</t>
  </si>
  <si>
    <t xml:space="preserve"> 105.32 mi</t>
  </si>
  <si>
    <t xml:space="preserve"> 275.75°</t>
  </si>
  <si>
    <t xml:space="preserve"> W74° 54.64'</t>
  </si>
  <si>
    <t>(unmarked) Roebling bridge / Rt 168 (ride bike across bridge)</t>
  </si>
  <si>
    <t xml:space="preserve"> (unmarked) Lackawaxen Scenic Dr ..follow "Zane Grey"</t>
  </si>
  <si>
    <t xml:space="preserve"> 109.42 mi</t>
  </si>
  <si>
    <t>(unmarked) Lackawaxen Scenic Dr ..follow "Zane Grey"</t>
  </si>
  <si>
    <t xml:space="preserve"> (SS) Rt 590 West{Deli}</t>
  </si>
  <si>
    <t xml:space="preserve"> 109.59 mi</t>
  </si>
  <si>
    <t>(SS) Rt 590 West{Deli}</t>
  </si>
  <si>
    <t xml:space="preserve"> (SS) Towpath Rd / Rt 4006 (leaving Rt 590){Restaurant}</t>
  </si>
  <si>
    <t xml:space="preserve"> 110.17 mi</t>
  </si>
  <si>
    <t>(SS) Towpath Rd / Rt 4006 (leaving Rt 590){Restaurant}</t>
  </si>
  <si>
    <t xml:space="preserve"> 113.90 mi</t>
  </si>
  <si>
    <t xml:space="preserve"> (unmarked) Rt 6</t>
  </si>
  <si>
    <t xml:space="preserve"> 122.01 mi</t>
  </si>
  <si>
    <t>(unmarked) Rt 6</t>
  </si>
  <si>
    <t xml:space="preserve"> (TFL at Rt 507) TRO Rt 6  (Lake Wallenpaupack)</t>
  </si>
  <si>
    <t xml:space="preserve"> (SS) (unmarked) Rt 115 / Hamilton South</t>
  </si>
  <si>
    <t>(SS) (unmarked) Rt 115 / Hamilton South</t>
  </si>
  <si>
    <t xml:space="preserve"> Station Rd...look for "One Lane Bridge".. crossing stream</t>
  </si>
  <si>
    <t>Station Rd...look for "One Lane Bridge".. crossing stream</t>
  </si>
  <si>
    <t xml:space="preserve"> (TFL) joining Rt 560 East [Layton] {Restaurant}</t>
  </si>
  <si>
    <t>(TFL) joining Rt 560 East [Layton] {Restaurant}</t>
  </si>
  <si>
    <t xml:space="preserve"> Rt 675 / Fire Station</t>
  </si>
  <si>
    <t>Rt 675 / Fire Station</t>
  </si>
  <si>
    <t xml:space="preserve"> Rt 32 (crossing Rt 42/41) [Glen Spey] {Pizza}</t>
  </si>
  <si>
    <t>Rt 32 (crossing Rt 42/41) [Glen Spey] {Pizza}</t>
  </si>
  <si>
    <t xml:space="preserve"> (unmarked) Kimbles Rd (Hendricks on right) (just past cemetary at top of climb)</t>
  </si>
  <si>
    <t>(unmarked) Kimbles Rd (Hendricks on right) (just past cemetary at top of climb)</t>
  </si>
  <si>
    <t xml:space="preserve"> Rt 3042 / Shuman Rd</t>
  </si>
  <si>
    <t>Rt 3042 / Shuman Rd</t>
  </si>
  <si>
    <t xml:space="preserve"> Lake Quinn Rd / Rt 3020 (sign hidden)</t>
  </si>
  <si>
    <t>Lake Quinn Rd / Rt 3020 (sign hidden)</t>
  </si>
  <si>
    <t xml:space="preserve"> Rt 3022 / Jubinske / Salem Rd (Rt 3020 ends at bend) (b/c Rt 1019 ahead)</t>
  </si>
  <si>
    <t>Rt 3022 / Jubinske / Salem Rd (Rt 3020 ends at bend) (b/c Rt 1019 ahead)</t>
  </si>
  <si>
    <t xml:space="preserve"> Leave controle turning right out of 7th Ave exit (continuing same direction)</t>
  </si>
  <si>
    <t>Leave controle turning right out of 7th Ave exit (continuing same direction)</t>
  </si>
  <si>
    <t xml:space="preserve"> (TFL) Joining Rt 2014 [Dundaff]{Store}</t>
  </si>
  <si>
    <t>(TFL) Joining Rt 2014 [Dundaff]{Store}</t>
  </si>
  <si>
    <t xml:space="preserve"> Rt 2012 CAUTION several steep twisty ROUGH descents ahead</t>
  </si>
  <si>
    <t>Rt 2012 CAUTION several steep twisty ROUGH descents ahead</t>
  </si>
  <si>
    <t xml:space="preserve"> (SS) Rt 106 CAUTION: Watch for BIG POTHOLES ahead {MiniMart}</t>
  </si>
  <si>
    <t>(SS) Rt 106 CAUTION: Watch for BIG POTHOLES ahead {MiniMart}</t>
  </si>
  <si>
    <t xml:space="preserve"> Controle Colonial Brick Inn on left at TFL near I-81 junction (Exxon on right) {Stores Restaurants}</t>
  </si>
  <si>
    <t>Controle Colonial Brick Inn on left at TFL near I-81 junction (Exxon on right) {Stores Restaurants}</t>
  </si>
  <si>
    <t xml:space="preserve"> (Blinking TFL) (unmarked) Washington St..'Tire Store'...follow "Bike 2" {Diner MiniMarts}</t>
  </si>
  <si>
    <t>(Blinking TFL) (unmarked) Washington St..'Tire Store'...follow "Bike 2" {Diner MiniMarts}</t>
  </si>
  <si>
    <t xml:space="preserve"> (TFL) Main St / Rt 48..then across River Bridge..'Kwik-Fill'.."Bike 17" [Vestal] {MiniMart}</t>
  </si>
  <si>
    <t>(TFL) Main St / Rt 48..then across River Bridge..'Kwik-Fill'.."Bike 17" [Vestal] {MiniMart}</t>
  </si>
  <si>
    <t xml:space="preserve"> (TFL) Rt 17C / Main St..'Valero Mart' (Move to left lane before intersection) [Endicott] {MiniMart}</t>
  </si>
  <si>
    <t>(TFL) Rt 17C / Main St..'Valero Mart' (Move to left lane before intersection) [Endicott] {MiniMart}</t>
  </si>
  <si>
    <t>Controle Flying-J Truck stop (driveway on left just before Rt 64 Jct CAUTION: Truck Exit {Truck Stop Restaurant}</t>
  </si>
  <si>
    <t xml:space="preserve"> Rt 895</t>
  </si>
  <si>
    <t xml:space="preserve"> 0.51 mi</t>
  </si>
  <si>
    <t xml:space="preserve"> 176.01°</t>
  </si>
  <si>
    <t>Rt 895</t>
  </si>
  <si>
    <t xml:space="preserve"> Rt 501</t>
  </si>
  <si>
    <t xml:space="preserve"> 31.96 mi</t>
  </si>
  <si>
    <t xml:space="preserve"> 133.90°</t>
  </si>
  <si>
    <t xml:space="preserve"> N40° 32.70'</t>
  </si>
  <si>
    <t>Rt 501</t>
  </si>
  <si>
    <t xml:space="preserve"> Mexico Rd / Brookside Ct</t>
  </si>
  <si>
    <t xml:space="preserve"> 32.57 mi</t>
  </si>
  <si>
    <t xml:space="preserve"> 181.77°</t>
  </si>
  <si>
    <t xml:space="preserve"> N40° 32.36'</t>
  </si>
  <si>
    <t xml:space="preserve"> W76° 22.66'</t>
  </si>
  <si>
    <t>Mexico Rd / Brookside Ct</t>
  </si>
  <si>
    <t xml:space="preserve"> 33.11 mi</t>
  </si>
  <si>
    <t xml:space="preserve"> 284.43°</t>
  </si>
  <si>
    <t xml:space="preserve"> N40° 31.89'</t>
  </si>
  <si>
    <t xml:space="preserve"> W76° 22.68'</t>
  </si>
  <si>
    <t xml:space="preserve"> 2.04 mi</t>
  </si>
  <si>
    <t xml:space="preserve"> 33.56 mi</t>
  </si>
  <si>
    <t xml:space="preserve"> 165.16°</t>
  </si>
  <si>
    <t xml:space="preserve"> N40° 31.99'</t>
  </si>
  <si>
    <t xml:space="preserve"> 35.60 mi</t>
  </si>
  <si>
    <t xml:space="preserve"> 36.29 mi</t>
  </si>
  <si>
    <t xml:space="preserve"> 40.33 mi</t>
  </si>
  <si>
    <t xml:space="preserve"> 40.35 mi</t>
  </si>
  <si>
    <t xml:space="preserve"> 41.41 mi</t>
  </si>
  <si>
    <t xml:space="preserve"> 43.19 mi</t>
  </si>
  <si>
    <t xml:space="preserve"> Wintersville Rd</t>
  </si>
  <si>
    <t xml:space="preserve"> 44.12 mi</t>
  </si>
  <si>
    <t>Wintersville Rd</t>
  </si>
  <si>
    <t xml:space="preserve"> 44.35 mi</t>
  </si>
  <si>
    <t xml:space="preserve"> 45.81 mi</t>
  </si>
  <si>
    <t xml:space="preserve"> 46.71 mi</t>
  </si>
  <si>
    <t xml:space="preserve"> 47.45 mi</t>
  </si>
  <si>
    <t xml:space="preserve"> 48.28 mi</t>
  </si>
  <si>
    <t xml:space="preserve"> 48.76 mi</t>
  </si>
  <si>
    <t xml:space="preserve"> 53.55 mi</t>
  </si>
  <si>
    <t xml:space="preserve"> 54.03 mi</t>
  </si>
  <si>
    <t xml:space="preserve"> 55.40 mi</t>
  </si>
  <si>
    <t xml:space="preserve"> 56.24 mi</t>
  </si>
  <si>
    <t xml:space="preserve"> 61.22 mi</t>
  </si>
  <si>
    <t xml:space="preserve"> TRO Main St (at Sanford's Place)</t>
  </si>
  <si>
    <t xml:space="preserve"> 62.98 mi</t>
  </si>
  <si>
    <t xml:space="preserve"> 162.66°</t>
  </si>
  <si>
    <t>TRO Main St (at Sanford's Place)</t>
  </si>
  <si>
    <t xml:space="preserve"> QBL</t>
  </si>
  <si>
    <t xml:space="preserve"> 63.03 mi</t>
  </si>
  <si>
    <t xml:space="preserve"> 125.16°</t>
  </si>
  <si>
    <t xml:space="preserve"> N40° 29.13'</t>
  </si>
  <si>
    <t xml:space="preserve"> W76° 0.42'</t>
  </si>
  <si>
    <t xml:space="preserve"> 63.60 mi</t>
  </si>
  <si>
    <t xml:space="preserve"> 65.32 mi</t>
  </si>
  <si>
    <t xml:space="preserve"> 65.59 mi</t>
  </si>
  <si>
    <t xml:space="preserve"> 65.77 mi</t>
  </si>
  <si>
    <t xml:space="preserve"> 65.93 mi</t>
  </si>
  <si>
    <t xml:space="preserve"> 66.28 mi</t>
  </si>
  <si>
    <t xml:space="preserve"> 66.67 mi</t>
  </si>
  <si>
    <t xml:space="preserve"> 67.90 mi</t>
  </si>
  <si>
    <t xml:space="preserve"> 70.94 mi</t>
  </si>
  <si>
    <t xml:space="preserve"> 71.88 mi</t>
  </si>
  <si>
    <t xml:space="preserve"> 72.15 mi</t>
  </si>
  <si>
    <t xml:space="preserve"> 72.32 mi</t>
  </si>
  <si>
    <t xml:space="preserve"> 72.34 mi</t>
  </si>
  <si>
    <t xml:space="preserve"> 73.55 mi</t>
  </si>
  <si>
    <t xml:space="preserve"> 76.61 mi</t>
  </si>
  <si>
    <t xml:space="preserve"> 77.33 mi</t>
  </si>
  <si>
    <t xml:space="preserve"> 78.70 mi</t>
  </si>
  <si>
    <t xml:space="preserve"> 79.82 mi</t>
  </si>
  <si>
    <t xml:space="preserve"> 80.19 mi</t>
  </si>
  <si>
    <t xml:space="preserve"> 80.86 mi</t>
  </si>
  <si>
    <t xml:space="preserve"> 81.11 mi</t>
  </si>
  <si>
    <t xml:space="preserve"> 81.80 mi</t>
  </si>
  <si>
    <t xml:space="preserve"> 82.27 mi</t>
  </si>
  <si>
    <t xml:space="preserve"> 82.90 mi</t>
  </si>
  <si>
    <t xml:space="preserve"> (SS) Pricetown Rd  [Boyers Junction] {Store}</t>
  </si>
  <si>
    <t xml:space="preserve"> 83.80 mi</t>
  </si>
  <si>
    <t>(SS) Pricetown Rd  [Boyers Junction] {Store}</t>
  </si>
  <si>
    <t xml:space="preserve"> 84.44 mi</t>
  </si>
  <si>
    <t xml:space="preserve"> 86.82 mi</t>
  </si>
  <si>
    <t xml:space="preserve"> 88.82 mi</t>
  </si>
  <si>
    <t xml:space="preserve"> 89.53 mi</t>
  </si>
  <si>
    <t xml:space="preserve"> 90.23 mi</t>
  </si>
  <si>
    <t xml:space="preserve"> 90.39 mi</t>
  </si>
  <si>
    <t xml:space="preserve"> 93.12 mi</t>
  </si>
  <si>
    <t xml:space="preserve"> 93.22 mi</t>
  </si>
  <si>
    <t xml:space="preserve"> 95.73 mi</t>
  </si>
  <si>
    <t xml:space="preserve"> 95.97 mi</t>
  </si>
  <si>
    <t xml:space="preserve"> 98.17 mi</t>
  </si>
  <si>
    <t xml:space="preserve"> 98.42 mi</t>
  </si>
  <si>
    <t xml:space="preserve"> 98.46 mi</t>
  </si>
  <si>
    <t xml:space="preserve"> 101.08 mi</t>
  </si>
  <si>
    <t xml:space="preserve"> 102.75 mi</t>
  </si>
  <si>
    <t xml:space="preserve"> 106.20 mi</t>
  </si>
  <si>
    <t xml:space="preserve"> 110.96 mi</t>
  </si>
  <si>
    <t xml:space="preserve"> 111.31 mi</t>
  </si>
  <si>
    <t xml:space="preserve"> Fairview Rd</t>
  </si>
  <si>
    <t xml:space="preserve"> N40° 37.97'</t>
  </si>
  <si>
    <t xml:space="preserve"> W77° 17.90'</t>
  </si>
  <si>
    <t>Fairview Rd</t>
  </si>
  <si>
    <t xml:space="preserve"> 0.88 mi</t>
  </si>
  <si>
    <t xml:space="preserve"> N40° 38.48'</t>
  </si>
  <si>
    <t xml:space="preserve"> W77° 17.61'</t>
  </si>
  <si>
    <t xml:space="preserve"> 2.09 mi</t>
  </si>
  <si>
    <t xml:space="preserve"> N40° 38.81'</t>
  </si>
  <si>
    <t xml:space="preserve"> W77° 16.71'</t>
  </si>
  <si>
    <t xml:space="preserve"> Jamison Rd</t>
  </si>
  <si>
    <t xml:space="preserve"> N40° 39.55'</t>
  </si>
  <si>
    <t xml:space="preserve"> W77° 14.65'</t>
  </si>
  <si>
    <t>Jamison Rd</t>
  </si>
  <si>
    <t xml:space="preserve"> Foundary Rd</t>
  </si>
  <si>
    <t xml:space="preserve"> N40° 39.45'</t>
  </si>
  <si>
    <t xml:space="preserve"> W77° 14.61'</t>
  </si>
  <si>
    <t>Foundary Rd</t>
  </si>
  <si>
    <t xml:space="preserve"> N40° 39.70'</t>
  </si>
  <si>
    <t xml:space="preserve"> W77° 13.77'</t>
  </si>
  <si>
    <t xml:space="preserve"> 0.84 mi</t>
  </si>
  <si>
    <t xml:space="preserve"> N40° 39.82'</t>
  </si>
  <si>
    <t xml:space="preserve"> W77° 13.78'</t>
  </si>
  <si>
    <t xml:space="preserve"> N40° 39.93'</t>
  </si>
  <si>
    <t xml:space="preserve"> W77° 12.91'</t>
  </si>
  <si>
    <t xml:space="preserve"> N40° 40.22'</t>
  </si>
  <si>
    <t xml:space="preserve"> W77° 11.91'</t>
  </si>
  <si>
    <t xml:space="preserve"> N40° 11.36'</t>
  </si>
  <si>
    <t xml:space="preserve"> W75° 43.40'</t>
  </si>
  <si>
    <t>Rt 4041/ Harmonyville Rd (at Jones)</t>
  </si>
  <si>
    <t xml:space="preserve"> Laurelwood Rd / Rt 4041</t>
  </si>
  <si>
    <t xml:space="preserve"> 2.59 mi</t>
  </si>
  <si>
    <t xml:space="preserve"> 68.60°</t>
  </si>
  <si>
    <t xml:space="preserve"> N40° 11.40'</t>
  </si>
  <si>
    <t xml:space="preserve"> W75° 42.73'</t>
  </si>
  <si>
    <t>Laurelwood Rd / Rt 4041</t>
  </si>
  <si>
    <t xml:space="preserve"> Neiman Rd (SS)</t>
  </si>
  <si>
    <t xml:space="preserve"> 22.06°</t>
  </si>
  <si>
    <t xml:space="preserve"> N40° 12.18'</t>
  </si>
  <si>
    <t xml:space="preserve"> W75° 40.14'</t>
  </si>
  <si>
    <t>Neiman Rd (SS)</t>
  </si>
  <si>
    <t xml:space="preserve"> Hanover St</t>
  </si>
  <si>
    <t xml:space="preserve"> 40.79°</t>
  </si>
  <si>
    <t xml:space="preserve"> N40° 12.78'</t>
  </si>
  <si>
    <t xml:space="preserve"> W75° 39.82'</t>
  </si>
  <si>
    <t>Hanover St</t>
  </si>
  <si>
    <t xml:space="preserve"> Cedarville Rd</t>
  </si>
  <si>
    <t xml:space="preserve"> 13.66°</t>
  </si>
  <si>
    <t xml:space="preserve"> N40° 13.04'</t>
  </si>
  <si>
    <t>Cedarville Rd</t>
  </si>
  <si>
    <t xml:space="preserve"> Spiece Rd</t>
  </si>
  <si>
    <t xml:space="preserve"> 1.55 mi</t>
  </si>
  <si>
    <t xml:space="preserve"> 124.51°</t>
  </si>
  <si>
    <t xml:space="preserve"> N40° 13.69'</t>
  </si>
  <si>
    <t xml:space="preserve"> W75° 39.32'</t>
  </si>
  <si>
    <t>Spiece Rd</t>
  </si>
  <si>
    <t xml:space="preserve"> Old Schuylkill Rd</t>
  </si>
  <si>
    <t xml:space="preserve"> 45.89°</t>
  </si>
  <si>
    <t xml:space="preserve"> N40° 12.96'</t>
  </si>
  <si>
    <t xml:space="preserve"> W75° 37.93'</t>
  </si>
  <si>
    <t>Old Schuylkill Rd</t>
  </si>
  <si>
    <t xml:space="preserve"> 130.80°</t>
  </si>
  <si>
    <t xml:space="preserve"> N40° 13.45'</t>
  </si>
  <si>
    <t xml:space="preserve"> W75° 37.26'</t>
  </si>
  <si>
    <t xml:space="preserve"> W75° 24.99'</t>
  </si>
  <si>
    <t xml:space="preserve"> 0.46 mi</t>
  </si>
  <si>
    <t xml:space="preserve"> 0.80 mi</t>
  </si>
  <si>
    <t>(610) 417-7161</t>
  </si>
  <si>
    <t xml:space="preserve"> 117.75°</t>
  </si>
  <si>
    <t xml:space="preserve"> W75° 30.28'</t>
  </si>
  <si>
    <t xml:space="preserve"> TRO Walnut Dr (at Murphy Rd)</t>
  </si>
  <si>
    <t xml:space="preserve"> 340.58°</t>
  </si>
  <si>
    <t xml:space="preserve"> Caution</t>
  </si>
  <si>
    <t xml:space="preserve"> 243.43°</t>
  </si>
  <si>
    <t>Sheetz (814) 542-8561</t>
  </si>
  <si>
    <t>201 N Jefferson St, Mt Union, PA</t>
  </si>
  <si>
    <t>Tom's (717) 436-8943</t>
  </si>
  <si>
    <t>1 Stop 35 Plaza, Mifflintown, PA</t>
  </si>
  <si>
    <t xml:space="preserve"> N40° 41.18'</t>
  </si>
  <si>
    <t xml:space="preserve"> W76° 49.77'</t>
  </si>
  <si>
    <t xml:space="preserve"> N41° 28.64'</t>
  </si>
  <si>
    <t xml:space="preserve"> 242.05°</t>
  </si>
  <si>
    <t xml:space="preserve"> N41° 28.96'</t>
  </si>
  <si>
    <t xml:space="preserve"> W74° 59.00'</t>
  </si>
  <si>
    <t xml:space="preserve"> 315.67°</t>
  </si>
  <si>
    <t xml:space="preserve"> W74° 59.16'</t>
  </si>
  <si>
    <t xml:space="preserve"> 251.85°</t>
  </si>
  <si>
    <t xml:space="preserve"> N41° 29.12'</t>
  </si>
  <si>
    <t xml:space="preserve"> W74° 59.45'</t>
  </si>
  <si>
    <t xml:space="preserve"> 8.11 mi</t>
  </si>
  <si>
    <t xml:space="preserve"> 265.87°</t>
  </si>
  <si>
    <t xml:space="preserve"> N41° 28.39'</t>
  </si>
  <si>
    <t xml:space="preserve"> W75° 2.41'</t>
  </si>
  <si>
    <t xml:space="preserve"> ***Sharp L</t>
  </si>
  <si>
    <t xml:space="preserve"> 3.23 mi</t>
  </si>
  <si>
    <t xml:space="preserve"> 215.04°</t>
  </si>
  <si>
    <t xml:space="preserve"> N41° 28.13'</t>
  </si>
  <si>
    <t xml:space="preserve"> 1.48 mi</t>
  </si>
  <si>
    <t xml:space="preserve"> 291.01°</t>
  </si>
  <si>
    <t xml:space="preserve"> W75° 9.17'</t>
  </si>
  <si>
    <t xml:space="preserve"> 1.35 mi</t>
  </si>
  <si>
    <t xml:space="preserve"> 353.38°</t>
  </si>
  <si>
    <t xml:space="preserve"> N41° 26.60'</t>
  </si>
  <si>
    <t xml:space="preserve"> 288.00°</t>
  </si>
  <si>
    <t xml:space="preserve"> N41° 27.75'</t>
  </si>
  <si>
    <t xml:space="preserve"> W75° 10.89'</t>
  </si>
  <si>
    <t xml:space="preserve"> N41° 27.97'</t>
  </si>
  <si>
    <t xml:space="preserve"> W75° 11.76'</t>
  </si>
  <si>
    <t xml:space="preserve"> W75° 15.40'</t>
  </si>
  <si>
    <t xml:space="preserve"> 249.23°</t>
  </si>
  <si>
    <t xml:space="preserve"> N41° 30.31'</t>
  </si>
  <si>
    <t xml:space="preserve"> W75° 24.74'</t>
  </si>
  <si>
    <t xml:space="preserve"> 312.01°</t>
  </si>
  <si>
    <t xml:space="preserve"> N41° 30.21'</t>
  </si>
  <si>
    <t xml:space="preserve"> W75° 25.10'</t>
  </si>
  <si>
    <t xml:space="preserve"> N41° 34.46'</t>
  </si>
  <si>
    <t xml:space="preserve"> W75° 30.22'</t>
  </si>
  <si>
    <t>Dundaff St / Rt 1007 (just after RR tracks)</t>
  </si>
  <si>
    <t xml:space="preserve"> TRO Rt 1007 / Dundaff St (at Rt 1011)</t>
  </si>
  <si>
    <t xml:space="preserve"> 2.90 mi</t>
  </si>
  <si>
    <t xml:space="preserve"> 353.25°</t>
  </si>
  <si>
    <t xml:space="preserve"> N41° 34.68'</t>
  </si>
  <si>
    <t>TRO Rt 1007 / Dundaff St (at Rt 1011)</t>
  </si>
  <si>
    <t xml:space="preserve"> Joining Rt 247 South</t>
  </si>
  <si>
    <t xml:space="preserve"> 325.31°</t>
  </si>
  <si>
    <t xml:space="preserve"> N41° 37.09'</t>
  </si>
  <si>
    <t xml:space="preserve"> W75° 30.58'</t>
  </si>
  <si>
    <t>Joining Rt 247 South</t>
  </si>
  <si>
    <t xml:space="preserve"> 1.39 mi</t>
  </si>
  <si>
    <t xml:space="preserve"> 309.47°</t>
  </si>
  <si>
    <t xml:space="preserve"> N41° 38.46'</t>
  </si>
  <si>
    <t xml:space="preserve"> W75° 31.84'</t>
  </si>
  <si>
    <t xml:space="preserve"> 1.79 mi</t>
  </si>
  <si>
    <t xml:space="preserve"> 310.08°</t>
  </si>
  <si>
    <t xml:space="preserve"> N41° 39.22'</t>
  </si>
  <si>
    <t xml:space="preserve"> W75° 33.09'</t>
  </si>
  <si>
    <t xml:space="preserve"> 2.48 mi</t>
  </si>
  <si>
    <t xml:space="preserve"> 294.25°</t>
  </si>
  <si>
    <t xml:space="preserve"> N41° 40.20'</t>
  </si>
  <si>
    <t xml:space="preserve"> W75° 34.65'</t>
  </si>
  <si>
    <t xml:space="preserve"> Rt 81 TRO Rt 106</t>
  </si>
  <si>
    <t xml:space="preserve"> 3.73 mi</t>
  </si>
  <si>
    <t xml:space="preserve"> 303.53°</t>
  </si>
  <si>
    <t>Tom Rosenbauer</t>
  </si>
  <si>
    <t xml:space="preserve"> W77° 45.63'</t>
  </si>
  <si>
    <t xml:space="preserve"> W75° 29.66'</t>
  </si>
  <si>
    <t>Rt 248 / Lehigh Dr</t>
  </si>
  <si>
    <t xml:space="preserve"> 1.57 mi</t>
  </si>
  <si>
    <t xml:space="preserve"> N40° 44.83'</t>
  </si>
  <si>
    <t xml:space="preserve"> W75° 30.66'</t>
  </si>
  <si>
    <t xml:space="preserve"> N40° 47.70'</t>
  </si>
  <si>
    <t xml:space="preserve"> N40° 23.06'</t>
  </si>
  <si>
    <t xml:space="preserve"> W75° 25.20'</t>
  </si>
  <si>
    <t xml:space="preserve"> Doerr Rd</t>
  </si>
  <si>
    <t xml:space="preserve"> 337.29°</t>
  </si>
  <si>
    <t xml:space="preserve"> N40° 23.73'</t>
  </si>
  <si>
    <t xml:space="preserve"> W75° 24.81'</t>
  </si>
  <si>
    <t>Doerr Rd</t>
  </si>
  <si>
    <t xml:space="preserve"> N40° 24.27'</t>
  </si>
  <si>
    <t xml:space="preserve"> W75° 25.11'</t>
  </si>
  <si>
    <t xml:space="preserve"> Krammes Rd</t>
  </si>
  <si>
    <t xml:space="preserve"> 22.83 mi</t>
  </si>
  <si>
    <t xml:space="preserve"> 289.22°</t>
  </si>
  <si>
    <t xml:space="preserve"> N40° 25.10'</t>
  </si>
  <si>
    <t xml:space="preserve"> W75° 24.92'</t>
  </si>
  <si>
    <t>Krammes Rd</t>
  </si>
  <si>
    <t xml:space="preserve"> 1.28 mi</t>
  </si>
  <si>
    <t xml:space="preserve"> 330.14°</t>
  </si>
  <si>
    <t xml:space="preserve"> Controle Hampton Inn - Congratulations</t>
  </si>
  <si>
    <t xml:space="preserve"> 0.68 mi</t>
  </si>
  <si>
    <t xml:space="preserve"> 24.30 mi</t>
  </si>
  <si>
    <t xml:space="preserve"> 82.89°</t>
  </si>
  <si>
    <t xml:space="preserve"> N40° 26.02'</t>
  </si>
  <si>
    <t xml:space="preserve"> W75° 25.77'</t>
  </si>
  <si>
    <t>Controle Hampton Inn - Congratulations</t>
  </si>
  <si>
    <t xml:space="preserve"> 318.95°</t>
  </si>
  <si>
    <t xml:space="preserve"> N40° 55.60'</t>
  </si>
  <si>
    <t xml:space="preserve"> W75° 5.64'</t>
  </si>
  <si>
    <t>Rt 80 overpass (follow "All Traffic")</t>
  </si>
  <si>
    <t xml:space="preserve"> Rt 80 access road (at TA Truck stop){Restaurant}</t>
  </si>
  <si>
    <t xml:space="preserve"> 36.75 mi</t>
  </si>
  <si>
    <t xml:space="preserve"> 7.02°</t>
  </si>
  <si>
    <t xml:space="preserve"> N40° 55.76'</t>
  </si>
  <si>
    <t xml:space="preserve"> W75° 5.82'</t>
  </si>
  <si>
    <t>Rt 80 access road (at TA Truck stop){Restaurant}</t>
  </si>
  <si>
    <t xml:space="preserve"> Q BR</t>
  </si>
  <si>
    <t xml:space="preserve"> (SS) (unmarked) Rt 94 South.."All Traffic".."No Turns"</t>
  </si>
  <si>
    <t xml:space="preserve"> 107.62°</t>
  </si>
  <si>
    <t xml:space="preserve"> N40° 55.86'</t>
  </si>
  <si>
    <t xml:space="preserve"> W75° 5.81'</t>
  </si>
  <si>
    <t>(SS) (unmarked) Rt 94 South.."All Traffic".."No Turns"</t>
  </si>
  <si>
    <t xml:space="preserve"> Joining Rt 94 North (watch for fast traffic entering on your right)</t>
  </si>
  <si>
    <t xml:space="preserve"> 37.28 mi</t>
  </si>
  <si>
    <t xml:space="preserve"> 86.82°</t>
  </si>
  <si>
    <t xml:space="preserve"> N40° 55.75'</t>
  </si>
  <si>
    <t xml:space="preserve"> W75° 5.37'</t>
  </si>
  <si>
    <t>Joining Rt 94 North (watch for fast traffic entering on your right)</t>
  </si>
  <si>
    <t xml:space="preserve"> Q Merge / Caution</t>
  </si>
  <si>
    <t xml:space="preserve"> TRO Rt 94 North (Jct Rt 605)</t>
  </si>
  <si>
    <t xml:space="preserve"> 37.33 mi</t>
  </si>
  <si>
    <t xml:space="preserve"> 47.70°</t>
  </si>
  <si>
    <t xml:space="preserve"> W75° 5.31'</t>
  </si>
  <si>
    <t>TRO Rt 94 North (Jct Rt 605)</t>
  </si>
  <si>
    <t xml:space="preserve"> 1.75 mi</t>
  </si>
  <si>
    <t xml:space="preserve"> 37.72 mi</t>
  </si>
  <si>
    <t xml:space="preserve"> 39.04°</t>
  </si>
  <si>
    <t xml:space="preserve"> W75° 4.99'</t>
  </si>
  <si>
    <t xml:space="preserve"> ***R</t>
  </si>
  <si>
    <t xml:space="preserve"> Viaduct {Lackawanna Cutoff vista}</t>
  </si>
  <si>
    <t xml:space="preserve"> 39.47 mi</t>
  </si>
  <si>
    <t xml:space="preserve"> 158.52°</t>
  </si>
  <si>
    <t xml:space="preserve"> N40° 57.15'</t>
  </si>
  <si>
    <t xml:space="preserve"> W75° 3.73'</t>
  </si>
  <si>
    <t>Viaduct {Lackawanna Cutoff vista}</t>
  </si>
  <si>
    <t xml:space="preserve"> (SS) Merging with Polkville Rd (Crisman Rd on left)</t>
  </si>
  <si>
    <t xml:space="preserve"> 1.34 mi</t>
  </si>
  <si>
    <t xml:space="preserve"> 39.78 mi</t>
  </si>
  <si>
    <t xml:space="preserve"> 64.85°</t>
  </si>
  <si>
    <t xml:space="preserve"> N40° 56.90'</t>
  </si>
  <si>
    <t xml:space="preserve"> W75° 3.61'</t>
  </si>
  <si>
    <t>(SS) Merging with Polkville Rd (Crisman Rd on left)</t>
  </si>
  <si>
    <t xml:space="preserve"> Sandhill Rd (Crossing Mt Hermon Rd)</t>
  </si>
  <si>
    <t xml:space="preserve"> 41.11 mi</t>
  </si>
  <si>
    <t xml:space="preserve"> 74.00°</t>
  </si>
  <si>
    <t xml:space="preserve"> N40° 57.38'</t>
  </si>
  <si>
    <t xml:space="preserve"> W75° 2.28'</t>
  </si>
  <si>
    <t>Sandhill Rd (Crossing Mt Hermon Rd)</t>
  </si>
  <si>
    <t xml:space="preserve"> (unmarked) Cedar Lake Rd / Rt 616</t>
  </si>
  <si>
    <t xml:space="preserve"> 1.21 mi</t>
  </si>
  <si>
    <t xml:space="preserve"> 42.19 mi</t>
  </si>
  <si>
    <t xml:space="preserve"> 70.88°</t>
  </si>
  <si>
    <t xml:space="preserve"> N40° 57.63'</t>
  </si>
  <si>
    <t xml:space="preserve"> W75° 1.11'</t>
  </si>
  <si>
    <t>(unmarked) Cedar Lake Rd / Rt 616</t>
  </si>
  <si>
    <t xml:space="preserve"> 2.51 mi</t>
  </si>
  <si>
    <t xml:space="preserve"> 43.40 mi</t>
  </si>
  <si>
    <t xml:space="preserve"> 65.22°</t>
  </si>
  <si>
    <t xml:space="preserve"> N40° 57.97'</t>
  </si>
  <si>
    <t xml:space="preserve"> W74° 59.82'</t>
  </si>
  <si>
    <t xml:space="preserve"> 45.91 mi</t>
  </si>
  <si>
    <t xml:space="preserve"> 46.17 mi</t>
  </si>
  <si>
    <t xml:space="preserve"> Controle Gourmet Gallery on left {Deli}</t>
  </si>
  <si>
    <t xml:space="preserve"> 46.26 mi</t>
  </si>
  <si>
    <t>Controle Gourmet Gallery on left {Deli}</t>
  </si>
  <si>
    <t xml:space="preserve"> Leave controle turning right on Main St{Limited services ahead}</t>
  </si>
  <si>
    <t xml:space="preserve"> 46.35 mi</t>
  </si>
  <si>
    <t>Leave controle turning right on Main St{Limited services ahead}</t>
  </si>
  <si>
    <t xml:space="preserve"> Blair Pl (uphill at Remax)</t>
  </si>
  <si>
    <t xml:space="preserve"> 46.37 mi</t>
  </si>
  <si>
    <t xml:space="preserve"> 46.50 mi</t>
  </si>
  <si>
    <t xml:space="preserve"> 46.60 mi</t>
  </si>
  <si>
    <t xml:space="preserve"> Top of Millbrook climb (CAUTION on steep twisty descent)</t>
  </si>
  <si>
    <t xml:space="preserve"> 48.50 mi</t>
  </si>
  <si>
    <t xml:space="preserve"> (TFL) TRO Vestal Rd / Rt 44 (Jct Rt 201) {MiniMart ahead}</t>
  </si>
  <si>
    <t xml:space="preserve"> 18.04 mi</t>
  </si>
  <si>
    <t xml:space="preserve"> 289.68°</t>
  </si>
  <si>
    <t xml:space="preserve"> N42° 5.75'</t>
  </si>
  <si>
    <t xml:space="preserve"> W75° 57.60'</t>
  </si>
  <si>
    <t>(TFL) TRO Vestal Rd / Rt 44 (Jct Rt 201) {MiniMart ahead}</t>
  </si>
  <si>
    <t xml:space="preserve"> 18.61 mi</t>
  </si>
  <si>
    <t xml:space="preserve"> 262.97°</t>
  </si>
  <si>
    <t xml:space="preserve"> N42° 5.92'</t>
  </si>
  <si>
    <t xml:space="preserve"> W75° 58.22'</t>
  </si>
  <si>
    <t xml:space="preserve"> T R + X</t>
  </si>
  <si>
    <t xml:space="preserve"> 23.35 mi</t>
  </si>
  <si>
    <t xml:space="preserve"> 333.23°</t>
  </si>
  <si>
    <t xml:space="preserve"> N42° 5.46'</t>
  </si>
  <si>
    <t xml:space="preserve"> W76° 3.23'</t>
  </si>
  <si>
    <t xml:space="preserve"> Owego city limit {Hotels Stores FastFood Restaurants}</t>
  </si>
  <si>
    <t xml:space="preserve"> 11.41 mi</t>
  </si>
  <si>
    <t xml:space="preserve"> 23.75 mi</t>
  </si>
  <si>
    <t xml:space="preserve"> 269.96°</t>
  </si>
  <si>
    <t xml:space="preserve"> W76° 3.44'</t>
  </si>
  <si>
    <t>Owego city limit {Hotels Stores FastFood Restaurants}</t>
  </si>
  <si>
    <t xml:space="preserve"> (TFL) Joining Front St [Owego]..leaving Rt 17C</t>
  </si>
  <si>
    <t xml:space="preserve"> 2.10 mi</t>
  </si>
  <si>
    <t xml:space="preserve"> 35.16 mi</t>
  </si>
  <si>
    <t xml:space="preserve"> 284.31°</t>
  </si>
  <si>
    <t xml:space="preserve"> W76° 13.68'</t>
  </si>
  <si>
    <t>(TFL) Joining Front St [Owego]..leaving Rt 17C</t>
  </si>
  <si>
    <t xml:space="preserve"> Williams St</t>
  </si>
  <si>
    <t xml:space="preserve"> 37.26 mi</t>
  </si>
  <si>
    <t xml:space="preserve"> 236.26°</t>
  </si>
  <si>
    <t>Williams St</t>
  </si>
  <si>
    <t xml:space="preserve"> Rt 17C / Main St {MiniMart}</t>
  </si>
  <si>
    <t xml:space="preserve"> 37.62 mi</t>
  </si>
  <si>
    <t xml:space="preserve"> 320.71°</t>
  </si>
  <si>
    <t xml:space="preserve"> N42° 5.95'</t>
  </si>
  <si>
    <t xml:space="preserve"> W76° 16.08'</t>
  </si>
  <si>
    <t>Rt 17C / Main St {MiniMart}</t>
  </si>
  <si>
    <t xml:space="preserve"> FMR TRO Rt 17C (Rt 43 goes right)</t>
  </si>
  <si>
    <t xml:space="preserve"> 37.74 mi</t>
  </si>
  <si>
    <t xml:space="preserve"> 254.02°</t>
  </si>
  <si>
    <t xml:space="preserve"> N42° 6.03'</t>
  </si>
  <si>
    <t xml:space="preserve"> W76° 16.17'</t>
  </si>
  <si>
    <t>FMR TRO Rt 17C (Rt 43 goes right)</t>
  </si>
  <si>
    <t xml:space="preserve"> Rt 282.."Attractions"</t>
  </si>
  <si>
    <t xml:space="preserve"> 7.47 mi</t>
  </si>
  <si>
    <t xml:space="preserve"> 38.64 mi</t>
  </si>
  <si>
    <t xml:space="preserve"> 228.80°</t>
  </si>
  <si>
    <t>Rt 282.."Attractions"</t>
  </si>
  <si>
    <t xml:space="preserve"> Rt 4 / West River Dr</t>
  </si>
  <si>
    <t xml:space="preserve"> 46.11 mi</t>
  </si>
  <si>
    <t xml:space="preserve"> 190.51°</t>
  </si>
  <si>
    <t xml:space="preserve"> N42° 2.02'</t>
  </si>
  <si>
    <t xml:space="preserve"> W76° 23.01'</t>
  </si>
  <si>
    <t>Rt 4 / West River Dr</t>
  </si>
  <si>
    <t xml:space="preserve"> Controle Citgo / Dandy Mini Mart (Answer Info Controle question on card) {MiniMart}</t>
  </si>
  <si>
    <t xml:space="preserve"> 46.69 mi</t>
  </si>
  <si>
    <t xml:space="preserve"> 104.14°</t>
  </si>
  <si>
    <t xml:space="preserve"> N42° 1.52'</t>
  </si>
  <si>
    <t xml:space="preserve"> W76° 23.13'</t>
  </si>
  <si>
    <t>Controle Citgo / Dandy Mini Mart (Answer Info Controle question on card) {MiniMart}</t>
  </si>
  <si>
    <t xml:space="preserve"> Leave parking lot turning left on Rt 4 / West River Rd (reverse direction)</t>
  </si>
  <si>
    <t xml:space="preserve"> 46.85 mi</t>
  </si>
  <si>
    <t xml:space="preserve"> 190.01°</t>
  </si>
  <si>
    <t xml:space="preserve"> N42° 1.49'</t>
  </si>
  <si>
    <t xml:space="preserve"> W76° 22.95'</t>
  </si>
  <si>
    <t>Leave parking lot turning left on Rt 4 / West River Rd (reverse direction)</t>
  </si>
  <si>
    <t xml:space="preserve"> Rt 17 underpass..b/c Riverside Dr / Rt 1043 </t>
  </si>
  <si>
    <t xml:space="preserve"> 5.22 mi</t>
  </si>
  <si>
    <t xml:space="preserve"> TL+QBR</t>
  </si>
  <si>
    <t xml:space="preserve"> (TFL) Rt 6 / Main St [Port Jervis NY]</t>
  </si>
  <si>
    <t xml:space="preserve"> 7.42 mi</t>
  </si>
  <si>
    <t xml:space="preserve"> 75.71 mi</t>
  </si>
  <si>
    <t xml:space="preserve"> 54.50°</t>
  </si>
  <si>
    <t xml:space="preserve"> N41° 18.06'</t>
  </si>
  <si>
    <t xml:space="preserve"> W74° 47.69'</t>
  </si>
  <si>
    <t>(SS) Rt 304 (now on Vine St / Rt 2003) [New Berlin] {Pizzeria}</t>
  </si>
  <si>
    <t xml:space="preserve"> Rt 3008 / Southside Rd (1st L in Franklindale...just after defunct JJ Deli on right)</t>
  </si>
  <si>
    <t xml:space="preserve"> 5.21 mi</t>
  </si>
  <si>
    <t xml:space="preserve"> 76.57 mi</t>
  </si>
  <si>
    <t xml:space="preserve"> 254.79°</t>
  </si>
  <si>
    <t xml:space="preserve"> N41° 43.16'</t>
  </si>
  <si>
    <t xml:space="preserve"> W76° 28.41'</t>
  </si>
  <si>
    <t>Rt 3008 / Southside Rd (1st L in Franklindale...just after defunct JJ Deli on right)</t>
  </si>
  <si>
    <t xml:space="preserve"> (SS) Rt 154 / Minnequa Ave (Lake Hill Rd on left)</t>
  </si>
  <si>
    <t xml:space="preserve"> 16.27 mi</t>
  </si>
  <si>
    <t xml:space="preserve"> 81.78 mi</t>
  </si>
  <si>
    <t xml:space="preserve"> 256.28°</t>
  </si>
  <si>
    <t xml:space="preserve"> N41° 42.17'</t>
  </si>
  <si>
    <t xml:space="preserve"> W76° 33.27'</t>
  </si>
  <si>
    <t>(SS) Rt 154 / Minnequa Ave (Lake Hill Rd on left)</t>
  </si>
  <si>
    <t xml:space="preserve"> Controle Exxon Acorn Jct Rt 414 / Minnequa Ave [Canton] {MiniMart}</t>
  </si>
  <si>
    <t xml:space="preserve"> 98.05 mi</t>
  </si>
  <si>
    <t xml:space="preserve"> 357.56°</t>
  </si>
  <si>
    <t xml:space="preserve"> N41° 38.92'</t>
  </si>
  <si>
    <t xml:space="preserve"> W76° 50.99'</t>
  </si>
  <si>
    <t>Linden Hall Rd / Rt 2006 (follow "Linden Hall")</t>
  </si>
  <si>
    <t xml:space="preserve"> 72.59 mi</t>
  </si>
  <si>
    <t xml:space="preserve"> 180.08°</t>
  </si>
  <si>
    <t xml:space="preserve"> N41° 46.10'</t>
  </si>
  <si>
    <t>(TFL) Joining Rt 2027 / Main St  (leaving Rt 6) {MiniMart}</t>
  </si>
  <si>
    <t xml:space="preserve"> Rt 220 {Diner on left before turn}</t>
  </si>
  <si>
    <t xml:space="preserve"> 1.74 mi</t>
  </si>
  <si>
    <t xml:space="preserve"> 73.02 mi</t>
  </si>
  <si>
    <t xml:space="preserve"> 196.71°</t>
  </si>
  <si>
    <t>Rt 220 {Diner on left before turn}</t>
  </si>
  <si>
    <t xml:space="preserve"> Rt 414 {Deli}</t>
  </si>
  <si>
    <t xml:space="preserve"> 1.82 mi</t>
  </si>
  <si>
    <t xml:space="preserve"> 74.75 mi</t>
  </si>
  <si>
    <t xml:space="preserve"> 218.43°</t>
  </si>
  <si>
    <t xml:space="preserve"> N41° 44.33'</t>
  </si>
  <si>
    <t xml:space="preserve"> W76° 27.16'</t>
  </si>
  <si>
    <t>Rt 414 {Deli}</t>
  </si>
  <si>
    <t>Irish Creek Rd / Rt 4022</t>
  </si>
  <si>
    <t xml:space="preserve"> (SS) TRO Irish Creek Rd</t>
  </si>
  <si>
    <t xml:space="preserve"> 70.01°</t>
  </si>
  <si>
    <t xml:space="preserve"> W76° 7.09'</t>
  </si>
  <si>
    <t>(SS) TRO Irish Creek Rd</t>
  </si>
  <si>
    <t xml:space="preserve"> Main St [Centerport]</t>
  </si>
  <si>
    <t xml:space="preserve"> 1.76 mi</t>
  </si>
  <si>
    <t xml:space="preserve"> 57.16°</t>
  </si>
  <si>
    <t xml:space="preserve"> N40° 28.39'</t>
  </si>
  <si>
    <t xml:space="preserve"> W76° 2.05'</t>
  </si>
  <si>
    <t>Main St [Centerport]</t>
  </si>
  <si>
    <t xml:space="preserve"> Shoey Rd / Rt 4025</t>
  </si>
  <si>
    <t xml:space="preserve"> N40° 29.17'</t>
  </si>
  <si>
    <t xml:space="preserve"> W76° 0.44'</t>
  </si>
  <si>
    <t>Shoey Rd / Rt 4025</t>
  </si>
  <si>
    <t xml:space="preserve"> RR Tracks on downhill: Caution</t>
  </si>
  <si>
    <t xml:space="preserve"> 1.72 mi</t>
  </si>
  <si>
    <t xml:space="preserve"> 52.92°</t>
  </si>
  <si>
    <t xml:space="preserve"> N40° 28.86'</t>
  </si>
  <si>
    <t xml:space="preserve"> W75° 59.91'</t>
  </si>
  <si>
    <t>RR Tracks on downhill: Caution</t>
  </si>
  <si>
    <t xml:space="preserve"> Main St [Shoemakersville]</t>
  </si>
  <si>
    <t xml:space="preserve"> 70.75°</t>
  </si>
  <si>
    <t xml:space="preserve"> N40° 29.68'</t>
  </si>
  <si>
    <t xml:space="preserve"> W75° 58.48'</t>
  </si>
  <si>
    <t>Main St [Shoemakersville]</t>
  </si>
  <si>
    <t xml:space="preserve"> Bad angle RR Tracks: Caution</t>
  </si>
  <si>
    <t xml:space="preserve"> 355.28°</t>
  </si>
  <si>
    <t xml:space="preserve"> N40° 29.76'</t>
  </si>
  <si>
    <t xml:space="preserve"> W75° 58.19'</t>
  </si>
  <si>
    <t>Bad angle RR Tracks: Caution</t>
  </si>
  <si>
    <t xml:space="preserve"> (SS) Noble Rd</t>
  </si>
  <si>
    <t xml:space="preserve"> N40° 29.91'</t>
  </si>
  <si>
    <t xml:space="preserve"> W75° 58.21'</t>
  </si>
  <si>
    <t>(SS) Noble Rd</t>
  </si>
  <si>
    <t xml:space="preserve"> (TFL) Rt 61 (now on Rt 662 / Moslem Spring Rd)  {MiniMarket (no services at next controle)}</t>
  </si>
  <si>
    <t xml:space="preserve"> 73.48°</t>
  </si>
  <si>
    <t xml:space="preserve"> N40° 30.05'</t>
  </si>
  <si>
    <t>(TFL) Rt 61 (now on Rt 662 / Moslem Spring Rd)  {MiniMarket (no services at next controle)}</t>
  </si>
  <si>
    <t xml:space="preserve"> Dreibelbis Mill Rd</t>
  </si>
  <si>
    <t xml:space="preserve"> 67.98°</t>
  </si>
  <si>
    <t xml:space="preserve"> N40° 30.14'</t>
  </si>
  <si>
    <t xml:space="preserve"> W75° 57.83'</t>
  </si>
  <si>
    <t>Dreibelbis Mill Rd</t>
  </si>
  <si>
    <t xml:space="preserve"> Onyx Cave Rd</t>
  </si>
  <si>
    <t xml:space="preserve"> 31.79°</t>
  </si>
  <si>
    <t xml:space="preserve"> N40° 30.27'</t>
  </si>
  <si>
    <t xml:space="preserve"> W75° 57.42'</t>
  </si>
  <si>
    <t>Onyx Cave Rd</t>
  </si>
  <si>
    <t xml:space="preserve"> Ontelaunee Trl</t>
  </si>
  <si>
    <t xml:space="preserve"> 3.04 mi</t>
  </si>
  <si>
    <t xml:space="preserve"> 96.45°</t>
  </si>
  <si>
    <t xml:space="preserve"> N40° 31.15'</t>
  </si>
  <si>
    <t xml:space="preserve"> W75° 56.70'</t>
  </si>
  <si>
    <t>Ontelaunee Trl</t>
  </si>
  <si>
    <t xml:space="preserve"> TRO Ontelaunee Trl (Jct Farview)</t>
  </si>
  <si>
    <t xml:space="preserve"> 39.28°</t>
  </si>
  <si>
    <t xml:space="preserve"> N40° 30.87'</t>
  </si>
  <si>
    <t>TRO Ontelaunee Trl (Jct Farview)</t>
  </si>
  <si>
    <t xml:space="preserve"> Rt 143</t>
  </si>
  <si>
    <t xml:space="preserve"> 42.42°</t>
  </si>
  <si>
    <t xml:space="preserve"> N40° 31.41'</t>
  </si>
  <si>
    <t xml:space="preserve"> W75° 52.82'</t>
  </si>
  <si>
    <t>Rt 143</t>
  </si>
  <si>
    <t xml:space="preserve"> 123.11°</t>
  </si>
  <si>
    <t xml:space="preserve"> N40° 31.59'</t>
  </si>
  <si>
    <t xml:space="preserve"> W75° 52.61'</t>
  </si>
  <si>
    <t xml:space="preserve"> Leave parking lot turning right on Crystal Cave Rd</t>
  </si>
  <si>
    <t xml:space="preserve"> 65.56°</t>
  </si>
  <si>
    <t xml:space="preserve"> N40° 31.52'</t>
  </si>
  <si>
    <t xml:space="preserve"> W75° 52.45'</t>
  </si>
  <si>
    <t>Leave parking lot turning right on Crystal Cave Rd</t>
  </si>
  <si>
    <t xml:space="preserve"> TRO Crystal Cave Rd / Rt 1012 (Jct Crystal Ridge Rd 1st time)</t>
  </si>
  <si>
    <t xml:space="preserve"> 1.22 mi</t>
  </si>
  <si>
    <t xml:space="preserve"> 92.99°</t>
  </si>
  <si>
    <t>TRO Crystal Cave Rd / Rt 1012 (Jct Crystal Ridge Rd 1st time)</t>
  </si>
  <si>
    <t xml:space="preserve"> TRO Crystal Cave Rd / Rt 1006 (Jct Crystal Ridge Rd 2nd time)</t>
  </si>
  <si>
    <t>FMR TRO (unmarked) Central Ave.."To 150"..jct Rich St</t>
  </si>
  <si>
    <t xml:space="preserve"> Island Rd / Rt 1002 (veering off of main road)</t>
  </si>
  <si>
    <t xml:space="preserve"> 1.37 mi</t>
  </si>
  <si>
    <t xml:space="preserve"> 153.98 mi</t>
  </si>
  <si>
    <t xml:space="preserve"> 254.03°</t>
  </si>
  <si>
    <t xml:space="preserve"> N41° 11.05'</t>
  </si>
  <si>
    <t xml:space="preserve"> W77° 19.13'</t>
  </si>
  <si>
    <t>Island Rd / Rt 1002 (veering off of main road)</t>
  </si>
  <si>
    <t xml:space="preserve"> 158.86 mi</t>
  </si>
  <si>
    <t xml:space="preserve"> 160.65 mi</t>
  </si>
  <si>
    <t xml:space="preserve"> 163.13 mi</t>
  </si>
  <si>
    <t xml:space="preserve"> (TFL) Rt 92 HEADS UP: Next turn follows immediately</t>
  </si>
  <si>
    <t xml:space="preserve"> 166.86 mi</t>
  </si>
  <si>
    <t>(TFL) Rt 92 HEADS UP: Next turn follows immediately</t>
  </si>
  <si>
    <t xml:space="preserve"> Rt 2063 / Creek Rd (look for Hartford 5 sign) {MiniMart Restaurant}</t>
  </si>
  <si>
    <t xml:space="preserve"> 167.05 mi</t>
  </si>
  <si>
    <t>Rt 2063 / Creek Rd (look for Hartford 5 sign) {MiniMart Restaurant}</t>
  </si>
  <si>
    <t xml:space="preserve"> 167.09 mi</t>
  </si>
  <si>
    <t xml:space="preserve"> 172.19 mi</t>
  </si>
  <si>
    <t xml:space="preserve"> (SS) Joining Rt 848 West</t>
  </si>
  <si>
    <t xml:space="preserve"> 172.44 mi</t>
  </si>
  <si>
    <t>(SS) Joining Rt 848 West</t>
  </si>
  <si>
    <t xml:space="preserve"> (SS) Rt 11 [New Milford] {MiniMart}</t>
  </si>
  <si>
    <t xml:space="preserve"> 176.87 mi</t>
  </si>
  <si>
    <t>(SS) Rt 11 [New Milford] {MiniMart}</t>
  </si>
  <si>
    <t xml:space="preserve"> New Milford city limit (road becomes 3-lane hwy)</t>
  </si>
  <si>
    <t xml:space="preserve"> 179.11 mi</t>
  </si>
  <si>
    <t xml:space="preserve"> Rt 94 (unmarked) (follow Columbia sign)</t>
  </si>
  <si>
    <t>Rt 94 (unmarked) (follow Columbia sign)</t>
  </si>
  <si>
    <t xml:space="preserve"> Carhart St [Blairstown]</t>
  </si>
  <si>
    <t xml:space="preserve"> 293.57°</t>
  </si>
  <si>
    <t xml:space="preserve"> N40° 58.83'</t>
  </si>
  <si>
    <t xml:space="preserve"> W74° 57.34'</t>
  </si>
  <si>
    <t>Carhart St [Blairstown]</t>
  </si>
  <si>
    <t xml:space="preserve"> Main St (unmarked)</t>
  </si>
  <si>
    <t xml:space="preserve"> 358.97°</t>
  </si>
  <si>
    <t xml:space="preserve"> N40° 58.92'</t>
  </si>
  <si>
    <t xml:space="preserve"> N40° 48.47'</t>
  </si>
  <si>
    <t xml:space="preserve"> W75° 32.09'</t>
  </si>
  <si>
    <t xml:space="preserve"> N40° 49.77'</t>
  </si>
  <si>
    <t xml:space="preserve"> W75° 21.63'</t>
  </si>
  <si>
    <t xml:space="preserve"> N40° 52.51'</t>
  </si>
  <si>
    <t xml:space="preserve"> W75° 19.98'</t>
  </si>
  <si>
    <t xml:space="preserve"> N40° 53.49'</t>
  </si>
  <si>
    <t xml:space="preserve"> W75° 18.84'</t>
  </si>
  <si>
    <t xml:space="preserve"> 0.08 mi</t>
  </si>
  <si>
    <t xml:space="preserve"> W75° 10.79'</t>
  </si>
  <si>
    <t xml:space="preserve"> N41° 26.16'</t>
  </si>
  <si>
    <t xml:space="preserve"> W75° 7.33'</t>
  </si>
  <si>
    <t xml:space="preserve"> N41° 28.90'</t>
  </si>
  <si>
    <t xml:space="preserve"> N40° 53.04'</t>
  </si>
  <si>
    <t xml:space="preserve"> 1.62 mi</t>
  </si>
  <si>
    <t xml:space="preserve"> 0.75 mi</t>
  </si>
  <si>
    <t xml:space="preserve"> 0.72 mi</t>
  </si>
  <si>
    <t xml:space="preserve"> 0.74 mi</t>
  </si>
  <si>
    <t xml:space="preserve"> 0.63 mi</t>
  </si>
  <si>
    <t xml:space="preserve"> W76° 24.21'</t>
  </si>
  <si>
    <t xml:space="preserve"> Rt 72 [Swatara Gap]</t>
  </si>
  <si>
    <t>Rt 72 [Swatara Gap]</t>
  </si>
  <si>
    <t xml:space="preserve"> N40° 28.94'</t>
  </si>
  <si>
    <t xml:space="preserve"> W76° 32.99'</t>
  </si>
  <si>
    <t xml:space="preserve"> Darkes Rd (on left) TRO Lickdale Rd</t>
  </si>
  <si>
    <t xml:space="preserve"> 66.90°</t>
  </si>
  <si>
    <t xml:space="preserve"> N40° 27.08'</t>
  </si>
  <si>
    <t>Darkes Rd (on left) TRO Lickdale Rd</t>
  </si>
  <si>
    <t xml:space="preserve"> b/c Main St [Fredericksburg]</t>
  </si>
  <si>
    <t xml:space="preserve"> 4.17 mi</t>
  </si>
  <si>
    <t xml:space="preserve"> 99.04°</t>
  </si>
  <si>
    <t xml:space="preserve"> N40° 27.20'</t>
  </si>
  <si>
    <t xml:space="preserve"> W76° 30.36'</t>
  </si>
  <si>
    <t>b/c Main St [Fredericksburg]</t>
  </si>
  <si>
    <t xml:space="preserve"> Rt 22 East (now on Fredericksburg Rd)</t>
  </si>
  <si>
    <t xml:space="preserve"> 94.32°</t>
  </si>
  <si>
    <t xml:space="preserve"> N40° 26.65'</t>
  </si>
  <si>
    <t xml:space="preserve"> W76° 25.83'</t>
  </si>
  <si>
    <t>Rt 22 East (now on Fredericksburg Rd)</t>
  </si>
  <si>
    <t xml:space="preserve"> TRO Fredericksburg Rd (Chestnut Hill goes left)</t>
  </si>
  <si>
    <t xml:space="preserve"> 149.38°</t>
  </si>
  <si>
    <t xml:space="preserve"> N40° 26.61'</t>
  </si>
  <si>
    <t xml:space="preserve"> W76° 25.20'</t>
  </si>
  <si>
    <t>TRO Fredericksburg Rd (Chestnut Hill goes left)</t>
  </si>
  <si>
    <t xml:space="preserve"> Shirksville Rd</t>
  </si>
  <si>
    <t xml:space="preserve"> 127.02°</t>
  </si>
  <si>
    <t xml:space="preserve"> N40° 26.48'</t>
  </si>
  <si>
    <t xml:space="preserve"> W76° 25.10'</t>
  </si>
  <si>
    <t>Shirksville Rd</t>
  </si>
  <si>
    <t xml:space="preserve"> Union Rd</t>
  </si>
  <si>
    <t xml:space="preserve"> 82.46°</t>
  </si>
  <si>
    <t xml:space="preserve"> N40° 25.97'</t>
  </si>
  <si>
    <t>Union Rd</t>
  </si>
  <si>
    <t xml:space="preserve"> Grieble Rd</t>
  </si>
  <si>
    <t xml:space="preserve"> 0.44 mi</t>
  </si>
  <si>
    <t xml:space="preserve"> 155.52°</t>
  </si>
  <si>
    <t xml:space="preserve"> N40° 25.99'</t>
  </si>
  <si>
    <t xml:space="preserve"> W76° 23.98'</t>
  </si>
  <si>
    <t>Grieble Rd</t>
  </si>
  <si>
    <t xml:space="preserve"> TRO Greble Rd (at Farmers Rd and Long Rd)</t>
  </si>
  <si>
    <t xml:space="preserve"> 1.98 mi</t>
  </si>
  <si>
    <t xml:space="preserve"> 82.63°</t>
  </si>
  <si>
    <t xml:space="preserve"> N40° 25.65'</t>
  </si>
  <si>
    <t xml:space="preserve"> W76° 23.78'</t>
  </si>
  <si>
    <t>TRO Greble Rd (at Farmers Rd and Long Rd)</t>
  </si>
  <si>
    <t xml:space="preserve"> BR + QBL</t>
  </si>
  <si>
    <t xml:space="preserve"> Woleber Rd</t>
  </si>
  <si>
    <t xml:space="preserve"> 102.74°</t>
  </si>
  <si>
    <t xml:space="preserve"> N40° 25.87'</t>
  </si>
  <si>
    <t xml:space="preserve"> W76° 21.55'</t>
  </si>
  <si>
    <t>Woleber Rd</t>
  </si>
  <si>
    <t xml:space="preserve"> Lancaster Ave [Mt Aetna] now on Market St b/c Stouchburg Rd</t>
  </si>
  <si>
    <t xml:space="preserve"> 112.78°</t>
  </si>
  <si>
    <t xml:space="preserve"> N40° 25.28'</t>
  </si>
  <si>
    <t xml:space="preserve"> W76° 18.14'</t>
  </si>
  <si>
    <t>Lancaster Ave [Mt Aetna] now on Market St b/c Stouchburg Rd</t>
  </si>
  <si>
    <t xml:space="preserve"> TRO Stouchsburg Rd (Kreider Rd on right)</t>
  </si>
  <si>
    <t xml:space="preserve"> 2.27 mi</t>
  </si>
  <si>
    <t xml:space="preserve"> 141.49°</t>
  </si>
  <si>
    <t xml:space="preserve"> N40° 25.15'</t>
  </si>
  <si>
    <t xml:space="preserve"> W76° 17.74'</t>
  </si>
  <si>
    <t xml:space="preserve"> Wintersville Rd (SS)</t>
  </si>
  <si>
    <t xml:space="preserve"> 130.54°</t>
  </si>
  <si>
    <t xml:space="preserve"> N40° 23.71'</t>
  </si>
  <si>
    <t xml:space="preserve"> W76° 16.23'</t>
  </si>
  <si>
    <t xml:space="preserve"> N40° 59.44'</t>
  </si>
  <si>
    <t>Blair Pl (uphill at Remax)</t>
  </si>
  <si>
    <t>TRO (unmarked) Stouchsburg Rd (SS) (Kreider Rd on right)</t>
  </si>
  <si>
    <t>(unmarked) Cocalico Rd</t>
  </si>
  <si>
    <t>Rt 1026 / Hopeland Rd (SS)</t>
  </si>
  <si>
    <t xml:space="preserve"> Clay Rd (unmarked) (SS) Turn hidden on downhill  [Hopeland]</t>
  </si>
  <si>
    <t xml:space="preserve"> 254.41°</t>
  </si>
  <si>
    <t xml:space="preserve"> N40° 14.15'</t>
  </si>
  <si>
    <t xml:space="preserve"> W76° 15.00'</t>
  </si>
  <si>
    <t>Clay Rd (unmarked) (SS) Turn hidden on downhill  [Hopeland]</t>
  </si>
  <si>
    <t xml:space="preserve"> TRO Clay Rd (crossing Rt 322)</t>
  </si>
  <si>
    <t xml:space="preserve"> 1.12 mi</t>
  </si>
  <si>
    <t xml:space="preserve"> 166.86°</t>
  </si>
  <si>
    <t xml:space="preserve"> N40° 14.03'</t>
  </si>
  <si>
    <t xml:space="preserve"> W76° 15.58'</t>
  </si>
  <si>
    <t>TRO Clay Rd (crossing Rt 322)</t>
  </si>
  <si>
    <t xml:space="preserve"> TRO Clay Rd (Brunnerville Rd goes straight)</t>
  </si>
  <si>
    <t xml:space="preserve"> 198.45°</t>
  </si>
  <si>
    <t xml:space="preserve"> N40° 13.10'</t>
  </si>
  <si>
    <t xml:space="preserve"> W76° 15.29'</t>
  </si>
  <si>
    <t>TRO Clay Rd (Brunnerville Rd goes straight)</t>
  </si>
  <si>
    <t xml:space="preserve"> Middle Creek Rd (Hammer Creek Rd on right)</t>
  </si>
  <si>
    <t xml:space="preserve"> 177.61°</t>
  </si>
  <si>
    <t xml:space="preserve"> N40° 12.36'</t>
  </si>
  <si>
    <t xml:space="preserve"> W76° 15.62'</t>
  </si>
  <si>
    <t xml:space="preserve"> 0.41 mi</t>
  </si>
  <si>
    <t xml:space="preserve"> 1.06 mi</t>
  </si>
  <si>
    <t xml:space="preserve"> TR + QL</t>
  </si>
  <si>
    <t xml:space="preserve"> N41° 3.24'</t>
  </si>
  <si>
    <t xml:space="preserve"> W77° 30.98'</t>
  </si>
  <si>
    <t xml:space="preserve"> 1.40 mi</t>
  </si>
  <si>
    <t xml:space="preserve"> 1.10 mi</t>
  </si>
  <si>
    <t xml:space="preserve"> 2nd R</t>
  </si>
  <si>
    <t xml:space="preserve"> W75° 32.05'</t>
  </si>
  <si>
    <t xml:space="preserve"> Fetherman Rd (sign hidden)</t>
  </si>
  <si>
    <t xml:space="preserve"> 41.62°</t>
  </si>
  <si>
    <t>Fetherman Rd (sign hidden)</t>
  </si>
  <si>
    <t xml:space="preserve"> ***2nd L</t>
  </si>
  <si>
    <t xml:space="preserve"> 19.89 mi</t>
  </si>
  <si>
    <t xml:space="preserve"> 337.71°</t>
  </si>
  <si>
    <t xml:space="preserve"> N40° 55.32'</t>
  </si>
  <si>
    <t xml:space="preserve"> W75° 15.47'</t>
  </si>
  <si>
    <t xml:space="preserve"> 49.24°</t>
  </si>
  <si>
    <t xml:space="preserve"> N40° 56.18'</t>
  </si>
  <si>
    <t xml:space="preserve"> 22.73 mi</t>
  </si>
  <si>
    <t xml:space="preserve"> 72.03°</t>
  </si>
  <si>
    <t xml:space="preserve"> N40° 57.09'</t>
  </si>
  <si>
    <t xml:space="preserve"> W75° 14.53'</t>
  </si>
  <si>
    <t xml:space="preserve"> 2.52 mi</t>
  </si>
  <si>
    <t xml:space="preserve"> 25.37 mi</t>
  </si>
  <si>
    <t xml:space="preserve"> 181.50°</t>
  </si>
  <si>
    <t xml:space="preserve"> N40° 57.77'</t>
  </si>
  <si>
    <t xml:space="preserve"> W75° 11.77'</t>
  </si>
  <si>
    <t xml:space="preserve"> 27.89 mi</t>
  </si>
  <si>
    <t xml:space="preserve"> 28.15 mi</t>
  </si>
  <si>
    <t xml:space="preserve"> 29.13 mi</t>
  </si>
  <si>
    <t xml:space="preserve"> 29.96 mi</t>
  </si>
  <si>
    <t xml:space="preserve"> 30.40 mi</t>
  </si>
  <si>
    <t xml:space="preserve"> 30.90 mi</t>
  </si>
  <si>
    <t xml:space="preserve"> 31.85 mi</t>
  </si>
  <si>
    <t xml:space="preserve"> 32.19 mi</t>
  </si>
  <si>
    <t xml:space="preserve"> 33.28 mi</t>
  </si>
  <si>
    <t xml:space="preserve"> 34.46 mi</t>
  </si>
  <si>
    <t xml:space="preserve"> 35.21 mi</t>
  </si>
  <si>
    <t xml:space="preserve"> 35.25 mi</t>
  </si>
  <si>
    <t xml:space="preserve"> 35.67 mi</t>
  </si>
  <si>
    <t xml:space="preserve"> 36.00 mi</t>
  </si>
  <si>
    <t xml:space="preserve"> 36.26 mi</t>
  </si>
  <si>
    <t xml:space="preserve"> 36.86 mi</t>
  </si>
  <si>
    <t xml:space="preserve"> 276.34°</t>
  </si>
  <si>
    <t xml:space="preserve"> 2.72 mi</t>
  </si>
  <si>
    <t xml:space="preserve"> 0.16 mi</t>
  </si>
  <si>
    <t xml:space="preserve"> 1.92 mi</t>
  </si>
  <si>
    <t xml:space="preserve"> 0.40 mi</t>
  </si>
  <si>
    <t xml:space="preserve"> 1.86 mi</t>
  </si>
  <si>
    <t xml:space="preserve"> 0.65 mi</t>
  </si>
  <si>
    <t xml:space="preserve"> N40° 8.21'</t>
  </si>
  <si>
    <t xml:space="preserve"> 0.69 mi</t>
  </si>
  <si>
    <t>Controle Scheetz (TFL) at junction of Shirk Rd &amp; Rt 23</t>
  </si>
  <si>
    <t xml:space="preserve"> Leave controle turning right out of driveway onto Rt 23</t>
  </si>
  <si>
    <t xml:space="preserve"> N40° 5.65'</t>
  </si>
  <si>
    <t xml:space="preserve"> W76° 6.77'</t>
  </si>
  <si>
    <t>Leave controle turning right out of driveway onto Rt 23</t>
  </si>
  <si>
    <t xml:space="preserve"> 68.07°</t>
  </si>
  <si>
    <t xml:space="preserve"> N40° 5.66'</t>
  </si>
  <si>
    <t xml:space="preserve"> W76° 6.75'</t>
  </si>
  <si>
    <t xml:space="preserve"> Conestoga St</t>
  </si>
  <si>
    <t xml:space="preserve"> 334.15°</t>
  </si>
  <si>
    <t xml:space="preserve"> N40° 5.78'</t>
  </si>
  <si>
    <t xml:space="preserve"> W76° 6.36'</t>
  </si>
  <si>
    <t>Conestoga St</t>
  </si>
  <si>
    <t xml:space="preserve"> Rail Road Ave</t>
  </si>
  <si>
    <t xml:space="preserve"> 66.42°</t>
  </si>
  <si>
    <t xml:space="preserve"> N40° 5.94'</t>
  </si>
  <si>
    <t xml:space="preserve"> W76° 6.47'</t>
  </si>
  <si>
    <t>Rail Road Ave</t>
  </si>
  <si>
    <t xml:space="preserve"> Spruce St</t>
  </si>
  <si>
    <t xml:space="preserve"> 340.74°</t>
  </si>
  <si>
    <t xml:space="preserve"> N40° 6.34'</t>
  </si>
  <si>
    <t xml:space="preserve"> W76° 5.29'</t>
  </si>
  <si>
    <t>Spruce St</t>
  </si>
  <si>
    <t xml:space="preserve"> Weaverland Rd</t>
  </si>
  <si>
    <t xml:space="preserve"> 0.86 mi</t>
  </si>
  <si>
    <t xml:space="preserve"> 51.81°</t>
  </si>
  <si>
    <t xml:space="preserve"> N40° 6.44'</t>
  </si>
  <si>
    <t xml:space="preserve"> W76° 5.34'</t>
  </si>
  <si>
    <t>Weaverland Rd</t>
  </si>
  <si>
    <t xml:space="preserve"> Rt 897 / Weaverland Valley Rd</t>
  </si>
  <si>
    <t xml:space="preserve"> 1.99 mi</t>
  </si>
  <si>
    <t xml:space="preserve"> 61.86°</t>
  </si>
  <si>
    <t xml:space="preserve"> 133.43°</t>
  </si>
  <si>
    <t xml:space="preserve"> N40° 41.13'</t>
  </si>
  <si>
    <t xml:space="preserve"> W76° 46.28'</t>
  </si>
  <si>
    <t>Joining Rt 3016 (which also goes right here).."Klingerstown 6"</t>
  </si>
  <si>
    <t xml:space="preserve"> Rt 3018</t>
  </si>
  <si>
    <t xml:space="preserve"> 4.61 mi</t>
  </si>
  <si>
    <t xml:space="preserve"> 3.86 mi</t>
  </si>
  <si>
    <t xml:space="preserve"> 109.11°</t>
  </si>
  <si>
    <t xml:space="preserve"> W76° 46.08'</t>
  </si>
  <si>
    <t>Rt 3018</t>
  </si>
  <si>
    <t xml:space="preserve"> (SS) Fearnot Rd / Rt 1024 [Erdman]</t>
  </si>
  <si>
    <t xml:space="preserve"> 1.84 mi</t>
  </si>
  <si>
    <t xml:space="preserve"> 8.47 mi</t>
  </si>
  <si>
    <t xml:space="preserve"> 155.19°</t>
  </si>
  <si>
    <t xml:space="preserve"> N40° 39.94'</t>
  </si>
  <si>
    <t xml:space="preserve"> W76° 42.12'</t>
  </si>
  <si>
    <t>(SS) Fearnot Rd / Rt 1024 [Erdman]</t>
  </si>
  <si>
    <t xml:space="preserve"> Rt 25</t>
  </si>
  <si>
    <t xml:space="preserve"> 10.31 mi</t>
  </si>
  <si>
    <t xml:space="preserve"> 99.03°</t>
  </si>
  <si>
    <t xml:space="preserve"> N40° 38.73'</t>
  </si>
  <si>
    <t xml:space="preserve"> W76° 41.39'</t>
  </si>
  <si>
    <t>Rt 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</si>
</sst>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2"/>
      <name val="Arial"/>
      <family val="2"/>
    </font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Unicode MS"/>
      <family val="0"/>
    </font>
    <font>
      <sz val="10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/>
    </xf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3" fillId="0" borderId="2" xfId="0" applyNumberFormat="1" applyFont="1" applyFill="1" applyBorder="1" applyAlignment="1">
      <alignment horizontal="right" vertical="justify" wrapText="1"/>
    </xf>
    <xf numFmtId="0" fontId="3" fillId="0" borderId="2" xfId="0" applyFont="1" applyFill="1" applyBorder="1" applyAlignment="1">
      <alignment horizontal="right" vertical="justify" wrapText="1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vertical="justify" wrapText="1"/>
    </xf>
    <xf numFmtId="16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justify" wrapText="1"/>
    </xf>
    <xf numFmtId="0" fontId="3" fillId="0" borderId="0" xfId="0" applyNumberFormat="1" applyFont="1" applyFill="1" applyBorder="1" applyAlignment="1">
      <alignment vertical="justify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" fillId="0" borderId="3" xfId="0" applyNumberFormat="1" applyFont="1" applyFill="1" applyBorder="1" applyAlignment="1">
      <alignment vertical="justify" wrapText="1"/>
    </xf>
    <xf numFmtId="0" fontId="3" fillId="0" borderId="4" xfId="0" applyNumberFormat="1" applyFont="1" applyFill="1" applyBorder="1" applyAlignment="1">
      <alignment vertical="justify" wrapText="1"/>
    </xf>
    <xf numFmtId="0" fontId="3" fillId="0" borderId="5" xfId="0" applyNumberFormat="1" applyFont="1" applyFill="1" applyBorder="1" applyAlignment="1">
      <alignment vertical="justify" wrapText="1"/>
    </xf>
    <xf numFmtId="164" fontId="3" fillId="0" borderId="6" xfId="0" applyNumberFormat="1" applyFont="1" applyFill="1" applyBorder="1" applyAlignment="1">
      <alignment vertical="justify" wrapText="1"/>
    </xf>
    <xf numFmtId="164" fontId="3" fillId="0" borderId="0" xfId="0" applyNumberFormat="1" applyFont="1" applyFill="1" applyBorder="1" applyAlignment="1">
      <alignment vertical="justify" wrapText="1"/>
    </xf>
    <xf numFmtId="0" fontId="3" fillId="0" borderId="7" xfId="0" applyFont="1" applyFill="1" applyBorder="1" applyAlignment="1">
      <alignment vertical="justify" wrapText="1"/>
    </xf>
    <xf numFmtId="164" fontId="3" fillId="0" borderId="8" xfId="0" applyNumberFormat="1" applyFont="1" applyFill="1" applyBorder="1" applyAlignment="1">
      <alignment vertical="justify" wrapText="1"/>
    </xf>
    <xf numFmtId="164" fontId="3" fillId="0" borderId="9" xfId="0" applyNumberFormat="1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16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64" fontId="2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0"/>
  <sheetViews>
    <sheetView view="pageBreakPreview" zoomScaleNormal="85" zoomScaleSheetLayoutView="100" workbookViewId="0" topLeftCell="A496">
      <selection activeCell="A19" sqref="A19"/>
    </sheetView>
  </sheetViews>
  <sheetFormatPr defaultColWidth="8.88671875" defaultRowHeight="15"/>
  <cols>
    <col min="1" max="1" width="5.77734375" style="14" customWidth="1"/>
    <col min="2" max="2" width="4.5546875" style="14" customWidth="1"/>
    <col min="3" max="3" width="4.6640625" style="14" customWidth="1"/>
    <col min="4" max="4" width="9.77734375" style="5" customWidth="1"/>
    <col min="5" max="5" width="29.77734375" style="7" customWidth="1"/>
    <col min="6" max="6" width="1.5625" style="7" customWidth="1"/>
    <col min="7" max="7" width="13.77734375" style="46" customWidth="1"/>
    <col min="8" max="8" width="10.5546875" style="3" customWidth="1"/>
    <col min="9" max="9" width="5.4453125" style="3" customWidth="1"/>
    <col min="10" max="10" width="7.6640625" style="3" customWidth="1"/>
    <col min="11" max="11" width="6.88671875" style="3" customWidth="1"/>
    <col min="12" max="12" width="27.77734375" style="3" customWidth="1"/>
    <col min="13" max="13" width="45.21484375" style="3" customWidth="1"/>
    <col min="14" max="16384" width="8.88671875" style="3" customWidth="1"/>
  </cols>
  <sheetData>
    <row r="1" spans="1:10" ht="18">
      <c r="A1" s="56" t="s">
        <v>706</v>
      </c>
      <c r="B1" s="57"/>
      <c r="C1" s="57"/>
      <c r="D1" s="57"/>
      <c r="E1" s="57"/>
      <c r="F1" s="28"/>
      <c r="G1" s="38"/>
      <c r="H1" s="3">
        <f aca="true" t="shared" si="0" ref="H1:H11">IF(ISNUMBER(FIND("Controle",E1)),LEFT(E1,FIND(" ",E1,10)-1),"")</f>
      </c>
      <c r="J1" s="12">
        <f>IF(ISNUMBER(FIND("Controle",H1)),MATCH(H1,Controle!B:B,0),"")</f>
      </c>
    </row>
    <row r="2" spans="1:10" ht="18">
      <c r="A2" s="60" t="s">
        <v>707</v>
      </c>
      <c r="B2" s="61"/>
      <c r="C2" s="61"/>
      <c r="D2" s="61"/>
      <c r="E2" s="61"/>
      <c r="F2" s="28"/>
      <c r="G2" s="38"/>
      <c r="J2" s="12"/>
    </row>
    <row r="3" spans="1:10" ht="16.5">
      <c r="A3" s="58" t="s">
        <v>1100</v>
      </c>
      <c r="B3" s="59"/>
      <c r="C3" s="59"/>
      <c r="D3" s="59"/>
      <c r="E3" s="59"/>
      <c r="F3" s="1"/>
      <c r="G3" s="39"/>
      <c r="H3" s="3">
        <f t="shared" si="0"/>
      </c>
      <c r="J3" s="12">
        <f>IF(ISNUMBER(FIND("Controle",H3)),MATCH(H3,Controle!B:B,0),"")</f>
      </c>
    </row>
    <row r="4" spans="1:10" ht="16.5">
      <c r="A4" s="6"/>
      <c r="B4" s="6"/>
      <c r="C4" s="6"/>
      <c r="D4" s="4"/>
      <c r="E4" s="5"/>
      <c r="F4" s="5"/>
      <c r="G4" s="40"/>
      <c r="H4" s="3">
        <f t="shared" si="0"/>
      </c>
      <c r="J4" s="12">
        <f>IF(ISNUMBER(FIND("Controle",H4)),MATCH(H4,Controle!B:B,0),"")</f>
      </c>
    </row>
    <row r="5" spans="1:10" ht="16.5">
      <c r="A5" s="2" t="s">
        <v>3080</v>
      </c>
      <c r="B5" s="1"/>
      <c r="C5" s="1"/>
      <c r="D5" s="1"/>
      <c r="E5" s="1" t="s">
        <v>3004</v>
      </c>
      <c r="F5" s="1"/>
      <c r="G5" s="39"/>
      <c r="H5" s="3">
        <f t="shared" si="0"/>
      </c>
      <c r="J5" s="12">
        <f>IF(ISNUMBER(FIND("Controle",H5)),MATCH(H5,Controle!B:B,0),"")</f>
      </c>
    </row>
    <row r="6" spans="1:10" ht="16.5">
      <c r="A6" s="2" t="s">
        <v>481</v>
      </c>
      <c r="B6" s="1"/>
      <c r="C6" s="1"/>
      <c r="D6" s="1"/>
      <c r="E6" s="1" t="s">
        <v>482</v>
      </c>
      <c r="F6" s="1"/>
      <c r="G6" s="39"/>
      <c r="J6" s="12"/>
    </row>
    <row r="7" spans="1:10" ht="16.5">
      <c r="A7" s="2"/>
      <c r="B7" s="1"/>
      <c r="C7" s="1"/>
      <c r="D7" s="1"/>
      <c r="E7" s="1"/>
      <c r="F7" s="1"/>
      <c r="G7" s="39"/>
      <c r="H7" s="3">
        <f t="shared" si="0"/>
      </c>
      <c r="J7" s="12">
        <f>IF(ISNUMBER(FIND("Controle",H7)),MATCH(H7,Controle!B:B,0),"")</f>
      </c>
    </row>
    <row r="8" spans="1:10" ht="16.5">
      <c r="A8" s="2"/>
      <c r="B8" s="1"/>
      <c r="C8" s="1"/>
      <c r="D8" s="1"/>
      <c r="E8" s="1"/>
      <c r="F8" s="1"/>
      <c r="G8" s="39"/>
      <c r="H8" s="3">
        <f t="shared" si="0"/>
      </c>
      <c r="J8" s="12">
        <f>IF(ISNUMBER(FIND("Controle",H8)),MATCH(H8,Controle!B:B,0),"")</f>
      </c>
    </row>
    <row r="9" spans="1:10" ht="16.5">
      <c r="A9" s="58" t="s">
        <v>1627</v>
      </c>
      <c r="B9" s="59"/>
      <c r="C9" s="59"/>
      <c r="D9" s="59"/>
      <c r="E9" s="59"/>
      <c r="F9" s="1"/>
      <c r="G9" s="39"/>
      <c r="H9" s="3">
        <f t="shared" si="0"/>
      </c>
      <c r="J9" s="12">
        <f>IF(ISNUMBER(FIND("Controle",H9)),MATCH(H9,Controle!B:B,0),"")</f>
      </c>
    </row>
    <row r="10" spans="1:10" ht="16.5">
      <c r="A10" s="58" t="s">
        <v>1618</v>
      </c>
      <c r="B10" s="59"/>
      <c r="C10" s="59"/>
      <c r="D10" s="59"/>
      <c r="E10" s="59"/>
      <c r="F10" s="1"/>
      <c r="G10" s="39"/>
      <c r="H10" s="3">
        <f t="shared" si="0"/>
      </c>
      <c r="J10" s="12">
        <f>IF(ISNUMBER(FIND("Controle",H10)),MATCH(H10,Controle!B:B,0),"")</f>
      </c>
    </row>
    <row r="11" spans="1:10" ht="16.5">
      <c r="A11" s="58" t="s">
        <v>1630</v>
      </c>
      <c r="B11" s="59"/>
      <c r="C11" s="59"/>
      <c r="D11" s="59"/>
      <c r="E11" s="59"/>
      <c r="F11" s="1"/>
      <c r="G11" s="39"/>
      <c r="H11" s="3">
        <f t="shared" si="0"/>
      </c>
      <c r="J11" s="12">
        <f>IF(ISNUMBER(FIND("Controle",H11)),MATCH(H11,Controle!B:B,0),"")</f>
      </c>
    </row>
    <row r="12" spans="1:10" ht="16.5">
      <c r="A12" s="58" t="s">
        <v>708</v>
      </c>
      <c r="B12" s="59"/>
      <c r="C12" s="59"/>
      <c r="D12" s="59"/>
      <c r="E12" s="59"/>
      <c r="F12" s="1"/>
      <c r="G12" s="39"/>
      <c r="J12" s="12"/>
    </row>
    <row r="13" spans="1:10" ht="16.5">
      <c r="A13" s="2" t="s">
        <v>709</v>
      </c>
      <c r="B13" s="1"/>
      <c r="C13" s="1"/>
      <c r="D13" s="1"/>
      <c r="E13" s="1"/>
      <c r="F13" s="1"/>
      <c r="G13" s="39"/>
      <c r="J13" s="12"/>
    </row>
    <row r="14" spans="1:10" ht="16.5">
      <c r="A14" s="2" t="s">
        <v>710</v>
      </c>
      <c r="B14" s="1"/>
      <c r="C14" s="1"/>
      <c r="D14" s="1"/>
      <c r="E14" s="1"/>
      <c r="F14" s="1"/>
      <c r="G14" s="39"/>
      <c r="J14" s="12"/>
    </row>
    <row r="15" spans="1:10" ht="16.5">
      <c r="A15" s="2" t="s">
        <v>711</v>
      </c>
      <c r="B15" s="1"/>
      <c r="C15" s="1"/>
      <c r="D15" s="1"/>
      <c r="E15" s="1"/>
      <c r="F15" s="1"/>
      <c r="G15" s="39"/>
      <c r="J15" s="12"/>
    </row>
    <row r="16" spans="1:10" ht="16.5">
      <c r="A16" s="2" t="s">
        <v>712</v>
      </c>
      <c r="B16" s="1"/>
      <c r="C16" s="1"/>
      <c r="D16" s="1"/>
      <c r="E16" s="1"/>
      <c r="F16" s="1"/>
      <c r="G16" s="39"/>
      <c r="J16" s="12"/>
    </row>
    <row r="17" spans="1:10" ht="17.25" thickBot="1">
      <c r="A17" s="2"/>
      <c r="B17" s="1"/>
      <c r="C17" s="1"/>
      <c r="D17" s="1"/>
      <c r="E17" s="1"/>
      <c r="F17" s="1"/>
      <c r="G17" s="39"/>
      <c r="J17" s="12"/>
    </row>
    <row r="18" spans="1:13" s="7" customFormat="1" ht="33.75" thickBot="1">
      <c r="A18" s="62" t="s">
        <v>483</v>
      </c>
      <c r="B18" s="63"/>
      <c r="C18" s="63"/>
      <c r="D18" s="63"/>
      <c r="E18" s="64"/>
      <c r="F18" s="29"/>
      <c r="G18" s="41"/>
      <c r="H18" s="7">
        <f>IF(ISNUMBER(FIND("Controle",#REF!)),LEFT(#REF!,FIND(" ",#REF!,10)-1),"")</f>
      </c>
      <c r="J18" s="12">
        <f>IF(ISNUMBER(FIND("Controle",H18)),MATCH(H18,Controle!B:B,0),"")</f>
      </c>
      <c r="M18" s="37" t="str">
        <f>A18</f>
        <v>EM1240K_B (RUSA# 788) 8/2/13 Draft 4 Rt 405 detour</v>
      </c>
    </row>
    <row r="19" spans="1:11" ht="17.25" thickBot="1">
      <c r="A19" s="23"/>
      <c r="B19" s="24"/>
      <c r="C19" s="24"/>
      <c r="D19" s="24"/>
      <c r="E19" s="24"/>
      <c r="F19" s="24"/>
      <c r="G19" s="42"/>
      <c r="H19" s="3" t="s">
        <v>1611</v>
      </c>
      <c r="I19" s="3">
        <f>IF(LEFT(E19,8)="Controle",I18+1,I18)</f>
        <v>0</v>
      </c>
      <c r="J19" s="12">
        <f>IF(ISNUMBER(FIND("Controle",H19)),MATCH(H19,Controle!B:B,0),"")</f>
        <v>3</v>
      </c>
      <c r="K19" s="7">
        <f>IF(B18="Leg",A19,K18)</f>
        <v>0</v>
      </c>
    </row>
    <row r="20" spans="1:11" ht="16.5">
      <c r="A20" s="53" t="str">
        <f>INDEX(Controle!H:H,Cue!J19)&amp;" "</f>
        <v>Controle 1 Hampton Inn Quakertown (215) 536-7779 </v>
      </c>
      <c r="B20" s="54"/>
      <c r="C20" s="54"/>
      <c r="D20" s="54"/>
      <c r="E20" s="55"/>
      <c r="F20" s="30"/>
      <c r="G20" s="43"/>
      <c r="H20" s="3">
        <f>IF(ISNUMBER(FIND("Controle",E20)),LEFT(E20,FIND(" ",E20,10)-1),"")</f>
      </c>
      <c r="I20" s="3">
        <f>IF(LEFT(E20,8)="Controle",I19+1,I19)</f>
        <v>0</v>
      </c>
      <c r="J20" s="12">
        <f>IF(ISNUMBER(FIND("Controle",H20)),MATCH(H20,Controle!B:B,0),"")</f>
      </c>
      <c r="K20" s="7">
        <f>IF(B19="Leg",A20,K19)</f>
        <v>0</v>
      </c>
    </row>
    <row r="21" spans="1:11" ht="16.5">
      <c r="A21" s="50" t="str">
        <f>INDEX(Controle!H:H,Cue!J19+1)&amp;" "</f>
        <v>1915 John Fries Hwy / Rt 663, Quakertown, PA </v>
      </c>
      <c r="B21" s="51"/>
      <c r="C21" s="51"/>
      <c r="D21" s="51"/>
      <c r="E21" s="52"/>
      <c r="F21" s="30"/>
      <c r="G21" s="43"/>
      <c r="H21" s="3">
        <f>IF(ISNUMBER(FIND("Controle",E21)),LEFT(E21,FIND(" ",E21,10)-1),"")</f>
      </c>
      <c r="I21" s="3">
        <f>IF(LEFT(E21,8)="Controle",I20+1,I20)</f>
        <v>0</v>
      </c>
      <c r="J21" s="12">
        <f>IF(ISNUMBER(FIND("Controle",H21)),MATCH(H21,Controle!B:B,0),"")</f>
      </c>
      <c r="K21" s="7">
        <f>IF(B20="Leg",A21,K20)</f>
        <v>0</v>
      </c>
    </row>
    <row r="22" spans="1:13" ht="17.25" thickBot="1">
      <c r="A22" s="47" t="str">
        <f>INDEX(Controle!H:H,Cue!J19+2)&amp;" "</f>
        <v>start: 08/08 04:00 </v>
      </c>
      <c r="B22" s="48"/>
      <c r="C22" s="48"/>
      <c r="D22" s="48"/>
      <c r="E22" s="49"/>
      <c r="F22" s="31"/>
      <c r="G22" s="44"/>
      <c r="H22" s="3">
        <f>IF(ISNUMBER(FIND("Controle",E22)),LEFT(E22,FIND(" ",E22,10)-1),"")</f>
      </c>
      <c r="I22" s="3">
        <f>IF(LEFT(E22,8)="Controle",I21+1,I21)</f>
        <v>0</v>
      </c>
      <c r="J22" s="12">
        <f>IF(ISNUMBER(FIND("Controle",H22)),MATCH(H22,Controle!B:B,0),"")</f>
      </c>
      <c r="K22" s="7">
        <f>IF(B21="Leg",A22,K21)</f>
        <v>0</v>
      </c>
      <c r="L22" s="7"/>
      <c r="M22" s="8"/>
    </row>
    <row r="23" spans="1:13" ht="16.5">
      <c r="A23" s="18" t="s">
        <v>1632</v>
      </c>
      <c r="B23" s="19" t="s">
        <v>1628</v>
      </c>
      <c r="C23" s="20" t="s">
        <v>1629</v>
      </c>
      <c r="D23" s="21" t="s">
        <v>1625</v>
      </c>
      <c r="E23" s="22" t="s">
        <v>1626</v>
      </c>
      <c r="F23" s="30"/>
      <c r="G23" s="43"/>
      <c r="H23" s="3">
        <f>IF(ISNUMBER(FIND("Controle",E23)),LEFT(E23,FIND(" ",E23,10)-1),"")</f>
      </c>
      <c r="I23" s="3">
        <v>0</v>
      </c>
      <c r="J23" s="12">
        <f>IF(ISNUMBER(FIND("Controle",H23)),MATCH(H23,Controle!B:B,0),"")</f>
      </c>
      <c r="K23" s="7"/>
      <c r="L23" s="7"/>
      <c r="M23" s="8"/>
    </row>
    <row r="24" spans="1:13" ht="33">
      <c r="A24" s="9">
        <f>Compilation!E2</f>
        <v>0</v>
      </c>
      <c r="B24" s="9">
        <f>A24-K24</f>
        <v>0</v>
      </c>
      <c r="C24" s="9">
        <v>0</v>
      </c>
      <c r="D24" s="10" t="str">
        <f>TRIM(Compilation!F2)</f>
        <v>Start</v>
      </c>
      <c r="E24" s="11" t="str">
        <f>Compilation!I2</f>
        <v>Controle Start - Leave driveway turning right onto Rt 663 </v>
      </c>
      <c r="F24" s="32"/>
      <c r="G24" s="45" t="str">
        <f>Compilation!J2</f>
        <v>Breakfast 1-hr before start</v>
      </c>
      <c r="I24" s="3">
        <f>IF(LEFT(E24,8)="Controle",I23+1,I23)</f>
        <v>1</v>
      </c>
      <c r="J24" s="12">
        <f>IF(ISNUMBER(FIND("Controle",H24)),MATCH(H24,Controle!B:B,0),"")</f>
      </c>
      <c r="K24" s="7">
        <f aca="true" t="shared" si="1" ref="K24:K50">IF(H23&lt;&gt;"",A24,K23)</f>
        <v>0</v>
      </c>
      <c r="L24" s="7" t="str">
        <f>E24</f>
        <v>Controle Start - Leave driveway turning right onto Rt 663 </v>
      </c>
      <c r="M24" s="13"/>
    </row>
    <row r="25" spans="1:13" ht="33">
      <c r="A25" s="9">
        <f>Compilation!E3</f>
        <v>0.3</v>
      </c>
      <c r="B25" s="9">
        <f aca="true" t="shared" si="2" ref="B25:B54">A25-K25</f>
        <v>0.3</v>
      </c>
      <c r="C25" s="9">
        <f>A25-A24</f>
        <v>0.3</v>
      </c>
      <c r="D25" s="10" t="str">
        <f>TRIM(Compilation!F3)</f>
        <v>B R</v>
      </c>
      <c r="E25" s="11" t="str">
        <f>Compilation!I3</f>
        <v>Milford Square Pike (just before Exxon)</v>
      </c>
      <c r="F25" s="32"/>
      <c r="G25" s="45">
        <f>Compilation!J3</f>
      </c>
      <c r="H25" s="3">
        <f aca="true" t="shared" si="3" ref="H25:H54">IF(ISNUMBER(FIND("Controle",E25)),"Controle "&amp;I25,"")</f>
      </c>
      <c r="I25" s="3">
        <f aca="true" t="shared" si="4" ref="I25:I50">IF(LEFT(E25,8)="Controle",I24+1,I24)</f>
        <v>1</v>
      </c>
      <c r="J25" s="12">
        <f>IF(ISNUMBER(FIND("Controle",H25)),MATCH(H25,Controle!B:B,0),"")</f>
      </c>
      <c r="K25" s="7">
        <f t="shared" si="1"/>
        <v>0</v>
      </c>
      <c r="L25" s="7" t="str">
        <f aca="true" t="shared" si="5" ref="L25:L57">E25</f>
        <v>Milford Square Pike (just before Exxon)</v>
      </c>
      <c r="M25" s="13"/>
    </row>
    <row r="26" spans="1:13" ht="33">
      <c r="A26" s="9">
        <f>Compilation!E4</f>
        <v>0.3</v>
      </c>
      <c r="B26" s="9">
        <f t="shared" si="2"/>
        <v>0.3</v>
      </c>
      <c r="C26" s="9">
        <f aca="true" t="shared" si="6" ref="C26:C50">A26-A25</f>
        <v>0</v>
      </c>
      <c r="D26" s="10" t="str">
        <f>TRIM(Compilation!F4)</f>
        <v>Q TL</v>
      </c>
      <c r="E26" s="11" t="str">
        <f>Compilation!I4</f>
        <v>TRO Milford Square Pike (towards Exxon)</v>
      </c>
      <c r="F26" s="32"/>
      <c r="G26" s="45">
        <f>Compilation!J4</f>
      </c>
      <c r="H26" s="3">
        <f t="shared" si="3"/>
      </c>
      <c r="I26" s="3">
        <f t="shared" si="4"/>
        <v>1</v>
      </c>
      <c r="J26" s="12">
        <f>IF(ISNUMBER(FIND("Controle",H26)),MATCH(H26,Controle!B:B,0),"")</f>
      </c>
      <c r="K26" s="7">
        <f t="shared" si="1"/>
        <v>0</v>
      </c>
      <c r="L26" s="7" t="str">
        <f t="shared" si="5"/>
        <v>TRO Milford Square Pike (towards Exxon)</v>
      </c>
      <c r="M26" s="13"/>
    </row>
    <row r="27" spans="1:13" ht="49.5">
      <c r="A27" s="9">
        <f>Compilation!E5</f>
        <v>0.9</v>
      </c>
      <c r="B27" s="9">
        <f t="shared" si="2"/>
        <v>0.9</v>
      </c>
      <c r="C27" s="9">
        <f t="shared" si="6"/>
        <v>0.6000000000000001</v>
      </c>
      <c r="D27" s="10" t="str">
        <f>TRIM(Compilation!F5)</f>
        <v>1st L</v>
      </c>
      <c r="E27" s="11" t="str">
        <f>Compilation!I5</f>
        <v>(SS) Allentown Rd (b/c Locust Valley Rd then Linden Rd ahead)</v>
      </c>
      <c r="F27" s="32"/>
      <c r="G27" s="45">
        <f>Compilation!J5</f>
      </c>
      <c r="H27" s="3">
        <f t="shared" si="3"/>
      </c>
      <c r="I27" s="3">
        <f t="shared" si="4"/>
        <v>1</v>
      </c>
      <c r="J27" s="12">
        <f>IF(ISNUMBER(FIND("Controle",H27)),MATCH(H27,Controle!B:B,0),"")</f>
      </c>
      <c r="K27" s="7">
        <f t="shared" si="1"/>
        <v>0</v>
      </c>
      <c r="L27" s="7" t="str">
        <f t="shared" si="5"/>
        <v>(SS) Allentown Rd (b/c Locust Valley Rd then Linden Rd ahead)</v>
      </c>
      <c r="M27" s="13"/>
    </row>
    <row r="28" spans="1:13" ht="16.5">
      <c r="A28" s="9">
        <f>Compilation!E6</f>
        <v>6.6</v>
      </c>
      <c r="B28" s="9">
        <f t="shared" si="2"/>
        <v>6.6</v>
      </c>
      <c r="C28" s="9">
        <f t="shared" si="6"/>
        <v>5.699999999999999</v>
      </c>
      <c r="D28" s="10" t="str">
        <f>TRIM(Compilation!F6)</f>
        <v>L</v>
      </c>
      <c r="E28" s="11" t="str">
        <f>Compilation!I6</f>
        <v>(SS) Main St [Coopersburg]</v>
      </c>
      <c r="F28" s="32"/>
      <c r="G28" s="45">
        <f>Compilation!J6</f>
      </c>
      <c r="H28" s="3">
        <f t="shared" si="3"/>
      </c>
      <c r="I28" s="3">
        <f t="shared" si="4"/>
        <v>1</v>
      </c>
      <c r="J28" s="12">
        <f>IF(ISNUMBER(FIND("Controle",H28)),MATCH(H28,Controle!B:B,0),"")</f>
      </c>
      <c r="K28" s="7">
        <f t="shared" si="1"/>
        <v>0</v>
      </c>
      <c r="L28" s="7" t="str">
        <f t="shared" si="5"/>
        <v>(SS) Main St [Coopersburg]</v>
      </c>
      <c r="M28" s="13"/>
    </row>
    <row r="29" spans="1:13" ht="16.5">
      <c r="A29" s="9">
        <f>Compilation!E7</f>
        <v>8.4</v>
      </c>
      <c r="B29" s="9">
        <f t="shared" si="2"/>
        <v>8.4</v>
      </c>
      <c r="C29" s="9">
        <f t="shared" si="6"/>
        <v>1.8000000000000007</v>
      </c>
      <c r="D29" s="10" t="str">
        <f>TRIM(Compilation!F7)</f>
        <v>X</v>
      </c>
      <c r="E29" s="11" t="str">
        <f>Compilation!I7</f>
        <v>(TFL) Rt 309 b/c Rt 378</v>
      </c>
      <c r="F29" s="32"/>
      <c r="G29" s="45">
        <f>Compilation!J7</f>
      </c>
      <c r="H29" s="3">
        <f t="shared" si="3"/>
      </c>
      <c r="I29" s="3">
        <f t="shared" si="4"/>
        <v>1</v>
      </c>
      <c r="J29" s="12">
        <f>IF(ISNUMBER(FIND("Controle",H29)),MATCH(H29,Controle!B:B,0),"")</f>
      </c>
      <c r="K29" s="7">
        <f t="shared" si="1"/>
        <v>0</v>
      </c>
      <c r="L29" s="7" t="str">
        <f t="shared" si="5"/>
        <v>(TFL) Rt 309 b/c Rt 378</v>
      </c>
      <c r="M29" s="13"/>
    </row>
    <row r="30" spans="1:13" ht="28.5">
      <c r="A30" s="9">
        <f>Compilation!E8</f>
        <v>14.2</v>
      </c>
      <c r="B30" s="9">
        <f t="shared" si="2"/>
        <v>14.2</v>
      </c>
      <c r="C30" s="9">
        <f t="shared" si="6"/>
        <v>5.799999999999999</v>
      </c>
      <c r="D30" s="10" t="str">
        <f>TRIM(Compilation!F8)</f>
        <v>R</v>
      </c>
      <c r="E30" s="11" t="str">
        <f>Compilation!I8</f>
        <v>(TFL) Rt 412 / Broadway Ave </v>
      </c>
      <c r="F30" s="32"/>
      <c r="G30" s="45" t="str">
        <f>Compilation!J8</f>
        <v>MiniiMarts Dunkin Donuts</v>
      </c>
      <c r="H30" s="3">
        <f t="shared" si="3"/>
      </c>
      <c r="I30" s="3">
        <f t="shared" si="4"/>
        <v>1</v>
      </c>
      <c r="J30" s="12">
        <f>IF(ISNUMBER(FIND("Controle",H30)),MATCH(H30,Controle!B:B,0),"")</f>
      </c>
      <c r="K30" s="7">
        <f t="shared" si="1"/>
        <v>0</v>
      </c>
      <c r="L30" s="7" t="str">
        <f t="shared" si="5"/>
        <v>(TFL) Rt 412 / Broadway Ave </v>
      </c>
      <c r="M30" s="13"/>
    </row>
    <row r="31" spans="1:13" ht="16.5">
      <c r="A31" s="9">
        <f>Compilation!E9</f>
        <v>14.4</v>
      </c>
      <c r="B31" s="9">
        <f t="shared" si="2"/>
        <v>14.4</v>
      </c>
      <c r="C31" s="9">
        <f t="shared" si="6"/>
        <v>0.20000000000000107</v>
      </c>
      <c r="D31" s="10" t="str">
        <f>TRIM(Compilation!F9)</f>
        <v>R</v>
      </c>
      <c r="E31" s="11" t="str">
        <f>Compilation!I9</f>
        <v>(TFL) W 4th St </v>
      </c>
      <c r="F31" s="32"/>
      <c r="G31" s="45">
        <f>Compilation!J9</f>
      </c>
      <c r="H31" s="3">
        <f t="shared" si="3"/>
      </c>
      <c r="I31" s="3">
        <f t="shared" si="4"/>
        <v>1</v>
      </c>
      <c r="J31" s="12">
        <f>IF(ISNUMBER(FIND("Controle",H31)),MATCH(H31,Controle!B:B,0),"")</f>
      </c>
      <c r="K31" s="7">
        <f t="shared" si="1"/>
        <v>0</v>
      </c>
      <c r="L31" s="7" t="str">
        <f t="shared" si="5"/>
        <v>(TFL) W 4th St </v>
      </c>
      <c r="M31" s="13"/>
    </row>
    <row r="32" spans="1:13" ht="33">
      <c r="A32" s="9">
        <f>Compilation!E10</f>
        <v>14.6</v>
      </c>
      <c r="B32" s="9">
        <f t="shared" si="2"/>
        <v>14.6</v>
      </c>
      <c r="C32" s="9">
        <f t="shared" si="6"/>
        <v>0.1999999999999993</v>
      </c>
      <c r="D32" s="10" t="str">
        <f>TRIM(Compilation!F10)</f>
        <v>L</v>
      </c>
      <c r="E32" s="11" t="str">
        <f>Compilation!I10</f>
        <v>(TFL) New St  CAUTION: RR ahead</v>
      </c>
      <c r="F32" s="32"/>
      <c r="G32" s="45">
        <f>Compilation!J10</f>
      </c>
      <c r="H32" s="3">
        <f t="shared" si="3"/>
      </c>
      <c r="I32" s="3">
        <f t="shared" si="4"/>
        <v>1</v>
      </c>
      <c r="J32" s="12">
        <f>IF(ISNUMBER(FIND("Controle",H32)),MATCH(H32,Controle!B:B,0),"")</f>
      </c>
      <c r="K32" s="7">
        <f t="shared" si="1"/>
        <v>0</v>
      </c>
      <c r="L32" s="7" t="str">
        <f t="shared" si="5"/>
        <v>(TFL) New St  CAUTION: RR ahead</v>
      </c>
      <c r="M32" s="13"/>
    </row>
    <row r="33" spans="1:13" ht="16.5">
      <c r="A33" s="9">
        <f>Compilation!E11</f>
        <v>14.9</v>
      </c>
      <c r="B33" s="9">
        <f t="shared" si="2"/>
        <v>14.9</v>
      </c>
      <c r="C33" s="9">
        <f t="shared" si="6"/>
        <v>0.3000000000000007</v>
      </c>
      <c r="D33" s="10" t="str">
        <f>TRIM(Compilation!F11)</f>
        <v>X</v>
      </c>
      <c r="E33" s="11" t="str">
        <f>Compilation!I11</f>
        <v>New St Bridge</v>
      </c>
      <c r="F33" s="32"/>
      <c r="G33" s="45">
        <f>Compilation!J11</f>
      </c>
      <c r="H33" s="3">
        <f t="shared" si="3"/>
      </c>
      <c r="I33" s="3">
        <f t="shared" si="4"/>
        <v>1</v>
      </c>
      <c r="J33" s="12">
        <f>IF(ISNUMBER(FIND("Controle",H33)),MATCH(H33,Controle!B:B,0),"")</f>
      </c>
      <c r="K33" s="7">
        <f t="shared" si="1"/>
        <v>0</v>
      </c>
      <c r="L33" s="7" t="str">
        <f t="shared" si="5"/>
        <v>New St Bridge</v>
      </c>
      <c r="M33" s="13"/>
    </row>
    <row r="34" spans="1:13" ht="16.5">
      <c r="A34" s="9">
        <f>Compilation!E12</f>
        <v>15</v>
      </c>
      <c r="B34" s="9">
        <f t="shared" si="2"/>
        <v>15</v>
      </c>
      <c r="C34" s="9">
        <f>A34-A33</f>
        <v>0.09999999999999964</v>
      </c>
      <c r="D34" s="10" t="str">
        <f>TRIM(Compilation!F12)</f>
        <v>1st R</v>
      </c>
      <c r="E34" s="11" t="str">
        <f>Compilation!I12</f>
        <v>Center St</v>
      </c>
      <c r="F34" s="32"/>
      <c r="G34" s="45">
        <f>Compilation!J12</f>
      </c>
      <c r="H34" s="3">
        <f t="shared" si="3"/>
      </c>
      <c r="I34" s="3">
        <f>IF(LEFT(E34,8)="Controle",I33+1,I33)</f>
        <v>1</v>
      </c>
      <c r="J34" s="12">
        <f>IF(ISNUMBER(FIND("Controle",H34)),MATCH(H34,Controle!B:B,0),"")</f>
      </c>
      <c r="K34" s="7">
        <f>IF(H33&lt;&gt;"",A34,K33)</f>
        <v>0</v>
      </c>
      <c r="L34" s="7" t="str">
        <f t="shared" si="5"/>
        <v>Center St</v>
      </c>
      <c r="M34" s="13"/>
    </row>
    <row r="35" spans="1:13" ht="33">
      <c r="A35" s="9">
        <f>Compilation!E13</f>
        <v>17.8</v>
      </c>
      <c r="B35" s="9">
        <f t="shared" si="2"/>
        <v>17.8</v>
      </c>
      <c r="C35" s="9">
        <f>A35-A34</f>
        <v>2.8000000000000007</v>
      </c>
      <c r="D35" s="10" t="str">
        <f>TRIM(Compilation!F13)</f>
        <v>L</v>
      </c>
      <c r="E35" s="11" t="str">
        <f>Compilation!I13</f>
        <v>(TFL) Maacada Rd Caution RR at bottom of descent</v>
      </c>
      <c r="F35" s="32"/>
      <c r="G35" s="45">
        <f>Compilation!J13</f>
      </c>
      <c r="H35" s="3">
        <f t="shared" si="3"/>
      </c>
      <c r="I35" s="3">
        <f>IF(LEFT(E35,8)="Controle",I34+1,I34)</f>
        <v>1</v>
      </c>
      <c r="J35" s="12">
        <f>IF(ISNUMBER(FIND("Controle",H35)),MATCH(H35,Controle!B:B,0),"")</f>
      </c>
      <c r="K35" s="7">
        <f>IF(H34&lt;&gt;"",A35,K34)</f>
        <v>0</v>
      </c>
      <c r="L35" s="7" t="str">
        <f t="shared" si="5"/>
        <v>(TFL) Maacada Rd Caution RR at bottom of descent</v>
      </c>
      <c r="M35" s="13"/>
    </row>
    <row r="36" spans="1:13" ht="16.5">
      <c r="A36" s="9">
        <f>Compilation!E14</f>
        <v>18.9</v>
      </c>
      <c r="B36" s="9">
        <f t="shared" si="2"/>
        <v>18.9</v>
      </c>
      <c r="C36" s="9">
        <f t="shared" si="6"/>
        <v>1.0999999999999979</v>
      </c>
      <c r="D36" s="10" t="str">
        <f>TRIM(Compilation!F14)</f>
        <v>R</v>
      </c>
      <c r="E36" s="11" t="str">
        <f>Compilation!I14</f>
        <v>(TFL) Jacksonville Rd</v>
      </c>
      <c r="F36" s="32"/>
      <c r="G36" s="45">
        <f>Compilation!J14</f>
      </c>
      <c r="H36" s="3">
        <f t="shared" si="3"/>
      </c>
      <c r="I36" s="3">
        <f t="shared" si="4"/>
        <v>1</v>
      </c>
      <c r="J36" s="12">
        <f>IF(ISNUMBER(FIND("Controle",H36)),MATCH(H36,Controle!B:B,0),"")</f>
      </c>
      <c r="K36" s="7">
        <f t="shared" si="1"/>
        <v>0</v>
      </c>
      <c r="L36" s="7" t="str">
        <f t="shared" si="5"/>
        <v>(TFL) Jacksonville Rd</v>
      </c>
      <c r="M36" s="13"/>
    </row>
    <row r="37" spans="1:13" ht="16.5">
      <c r="A37" s="9">
        <f>Compilation!E15</f>
        <v>21.1</v>
      </c>
      <c r="B37" s="9">
        <f t="shared" si="2"/>
        <v>21.1</v>
      </c>
      <c r="C37" s="9">
        <f t="shared" si="6"/>
        <v>2.200000000000003</v>
      </c>
      <c r="D37" s="10" t="str">
        <f>TRIM(Compilation!F15)</f>
        <v>T L</v>
      </c>
      <c r="E37" s="11" t="str">
        <f>Compilation!I15</f>
        <v>Hanoverville Rd</v>
      </c>
      <c r="F37" s="32"/>
      <c r="G37" s="45">
        <f>Compilation!J15</f>
      </c>
      <c r="H37" s="3">
        <f t="shared" si="3"/>
      </c>
      <c r="I37" s="3">
        <f t="shared" si="4"/>
        <v>1</v>
      </c>
      <c r="J37" s="12">
        <f>IF(ISNUMBER(FIND("Controle",H37)),MATCH(H37,Controle!B:B,0),"")</f>
      </c>
      <c r="K37" s="7">
        <f t="shared" si="1"/>
        <v>0</v>
      </c>
      <c r="L37" s="7" t="str">
        <f t="shared" si="5"/>
        <v>Hanoverville Rd</v>
      </c>
      <c r="M37" s="13"/>
    </row>
    <row r="38" spans="1:13" ht="33">
      <c r="A38" s="9">
        <f>Compilation!E16</f>
        <v>21.4</v>
      </c>
      <c r="B38" s="9">
        <f t="shared" si="2"/>
        <v>21.4</v>
      </c>
      <c r="C38" s="9">
        <f t="shared" si="6"/>
        <v>0.29999999999999716</v>
      </c>
      <c r="D38" s="10" t="str">
        <f>TRIM(Compilation!F16)</f>
        <v>X</v>
      </c>
      <c r="E38" s="11" t="str">
        <f>Compilation!I16</f>
        <v>(TFL) Airport Rd / Rt 987 (joining Snowdrift Rd)</v>
      </c>
      <c r="F38" s="32"/>
      <c r="G38" s="45">
        <f>Compilation!J16</f>
      </c>
      <c r="H38" s="3">
        <f t="shared" si="3"/>
      </c>
      <c r="I38" s="3">
        <f t="shared" si="4"/>
        <v>1</v>
      </c>
      <c r="J38" s="12">
        <f>IF(ISNUMBER(FIND("Controle",H38)),MATCH(H38,Controle!B:B,0),"")</f>
      </c>
      <c r="K38" s="7">
        <f t="shared" si="1"/>
        <v>0</v>
      </c>
      <c r="L38" s="7" t="str">
        <f t="shared" si="5"/>
        <v>(TFL) Airport Rd / Rt 987 (joining Snowdrift Rd)</v>
      </c>
      <c r="M38" s="13"/>
    </row>
    <row r="39" spans="1:13" ht="16.5">
      <c r="A39" s="9">
        <f>Compilation!E17</f>
        <v>21.6</v>
      </c>
      <c r="B39" s="9">
        <f t="shared" si="2"/>
        <v>21.6</v>
      </c>
      <c r="C39" s="9">
        <f t="shared" si="6"/>
        <v>0.20000000000000284</v>
      </c>
      <c r="D39" s="10" t="str">
        <f>TRIM(Compilation!F17)</f>
        <v>T L</v>
      </c>
      <c r="E39" s="11" t="str">
        <f>Compilation!I17</f>
        <v>Colony Dr</v>
      </c>
      <c r="F39" s="32"/>
      <c r="G39" s="45">
        <f>Compilation!J17</f>
      </c>
      <c r="H39" s="3">
        <f t="shared" si="3"/>
      </c>
      <c r="I39" s="3">
        <f t="shared" si="4"/>
        <v>1</v>
      </c>
      <c r="J39" s="12">
        <f>IF(ISNUMBER(FIND("Controle",H39)),MATCH(H39,Controle!B:B,0),"")</f>
      </c>
      <c r="K39" s="7">
        <f t="shared" si="1"/>
        <v>0</v>
      </c>
      <c r="L39" s="7" t="str">
        <f t="shared" si="5"/>
        <v>Colony Dr</v>
      </c>
      <c r="M39" s="13"/>
    </row>
    <row r="40" spans="1:13" ht="16.5">
      <c r="A40" s="9">
        <f>Compilation!E18</f>
        <v>23.1</v>
      </c>
      <c r="B40" s="9">
        <f t="shared" si="2"/>
        <v>23.1</v>
      </c>
      <c r="C40" s="9">
        <f>A40-A39</f>
        <v>1.5</v>
      </c>
      <c r="D40" s="10" t="str">
        <f>TRIM(Compilation!F18)</f>
        <v>T R</v>
      </c>
      <c r="E40" s="11" t="str">
        <f>Compilation!I18</f>
        <v>Weaversville Rd</v>
      </c>
      <c r="F40" s="32"/>
      <c r="G40" s="45">
        <f>Compilation!J18</f>
      </c>
      <c r="H40" s="3">
        <f t="shared" si="3"/>
      </c>
      <c r="I40" s="3">
        <f>IF(LEFT(E40,8)="Controle",I39+1,I39)</f>
        <v>1</v>
      </c>
      <c r="J40" s="12">
        <f>IF(ISNUMBER(FIND("Controle",H40)),MATCH(H40,Controle!B:B,0),"")</f>
      </c>
      <c r="K40" s="7">
        <f>IF(H39&lt;&gt;"",A40,K39)</f>
        <v>0</v>
      </c>
      <c r="L40" s="7" t="str">
        <f t="shared" si="5"/>
        <v>Weaversville Rd</v>
      </c>
      <c r="M40" s="13"/>
    </row>
    <row r="41" spans="1:13" ht="16.5">
      <c r="A41" s="9">
        <f>Compilation!E19</f>
        <v>23.7</v>
      </c>
      <c r="B41" s="9">
        <f t="shared" si="2"/>
        <v>23.7</v>
      </c>
      <c r="C41" s="9">
        <f t="shared" si="6"/>
        <v>0.5999999999999979</v>
      </c>
      <c r="D41" s="10" t="str">
        <f>TRIM(Compilation!F19)</f>
        <v>1st R</v>
      </c>
      <c r="E41" s="11" t="str">
        <f>Compilation!I19</f>
        <v>Walnut St</v>
      </c>
      <c r="F41" s="32"/>
      <c r="G41" s="45">
        <f>Compilation!J19</f>
      </c>
      <c r="H41" s="3">
        <f t="shared" si="3"/>
      </c>
      <c r="I41" s="3">
        <f t="shared" si="4"/>
        <v>1</v>
      </c>
      <c r="J41" s="12">
        <f>IF(ISNUMBER(FIND("Controle",H41)),MATCH(H41,Controle!B:B,0),"")</f>
      </c>
      <c r="K41" s="7">
        <f t="shared" si="1"/>
        <v>0</v>
      </c>
      <c r="L41" s="7" t="str">
        <f t="shared" si="5"/>
        <v>Walnut St</v>
      </c>
      <c r="M41" s="13"/>
    </row>
    <row r="42" spans="1:13" ht="16.5">
      <c r="A42" s="9">
        <f>Compilation!E20</f>
        <v>24.3</v>
      </c>
      <c r="B42" s="9">
        <f t="shared" si="2"/>
        <v>24.3</v>
      </c>
      <c r="C42" s="9">
        <f t="shared" si="6"/>
        <v>0.6000000000000014</v>
      </c>
      <c r="D42" s="10" t="str">
        <f>TRIM(Compilation!F20)</f>
        <v>TL</v>
      </c>
      <c r="E42" s="11" t="str">
        <f>Compilation!I20</f>
        <v>Nor Bath Blvd / Rt 329</v>
      </c>
      <c r="F42" s="32"/>
      <c r="G42" s="45">
        <f>Compilation!J20</f>
      </c>
      <c r="H42" s="3">
        <f t="shared" si="3"/>
      </c>
      <c r="I42" s="3">
        <f t="shared" si="4"/>
        <v>1</v>
      </c>
      <c r="J42" s="12">
        <f>IF(ISNUMBER(FIND("Controle",H42)),MATCH(H42,Controle!B:B,0),"")</f>
      </c>
      <c r="K42" s="7">
        <f t="shared" si="1"/>
        <v>0</v>
      </c>
      <c r="L42" s="7" t="str">
        <f t="shared" si="5"/>
        <v>Nor Bath Blvd / Rt 329</v>
      </c>
      <c r="M42" s="13"/>
    </row>
    <row r="43" spans="1:13" ht="16.5">
      <c r="A43" s="9">
        <f>Compilation!E21</f>
        <v>24.6</v>
      </c>
      <c r="B43" s="9">
        <f t="shared" si="2"/>
        <v>24.6</v>
      </c>
      <c r="C43" s="9">
        <f t="shared" si="6"/>
        <v>0.3000000000000007</v>
      </c>
      <c r="D43" s="10" t="str">
        <f>TRIM(Compilation!F21)</f>
        <v>1st R</v>
      </c>
      <c r="E43" s="11" t="str">
        <f>Compilation!I21</f>
        <v>Rt 3021 / Seemsville Rd</v>
      </c>
      <c r="F43" s="32"/>
      <c r="G43" s="45">
        <f>Compilation!J21</f>
      </c>
      <c r="H43" s="3">
        <f t="shared" si="3"/>
      </c>
      <c r="I43" s="3">
        <f t="shared" si="4"/>
        <v>1</v>
      </c>
      <c r="J43" s="12">
        <f>IF(ISNUMBER(FIND("Controle",H43)),MATCH(H43,Controle!B:B,0),"")</f>
      </c>
      <c r="K43" s="7">
        <f t="shared" si="1"/>
        <v>0</v>
      </c>
      <c r="L43" s="7" t="str">
        <f t="shared" si="5"/>
        <v>Rt 3021 / Seemsville Rd</v>
      </c>
      <c r="M43" s="13"/>
    </row>
    <row r="44" spans="1:13" ht="33">
      <c r="A44" s="9">
        <f>Compilation!E22</f>
        <v>26.3</v>
      </c>
      <c r="B44" s="9">
        <f t="shared" si="2"/>
        <v>26.3</v>
      </c>
      <c r="C44" s="9">
        <f t="shared" si="6"/>
        <v>1.6999999999999993</v>
      </c>
      <c r="D44" s="10" t="str">
        <f>TRIM(Compilation!F22)</f>
        <v>L</v>
      </c>
      <c r="E44" s="11" t="str">
        <f>Compilation!I22</f>
        <v>(SS) Rt 3018 / Old Carriage Rd [Seemsville]</v>
      </c>
      <c r="F44" s="32"/>
      <c r="G44" s="45">
        <f>Compilation!J22</f>
      </c>
      <c r="H44" s="3">
        <f t="shared" si="3"/>
      </c>
      <c r="I44" s="3">
        <f t="shared" si="4"/>
        <v>1</v>
      </c>
      <c r="J44" s="12">
        <f>IF(ISNUMBER(FIND("Controle",H44)),MATCH(H44,Controle!B:B,0),"")</f>
      </c>
      <c r="K44" s="7">
        <f t="shared" si="1"/>
        <v>0</v>
      </c>
      <c r="L44" s="7" t="str">
        <f t="shared" si="5"/>
        <v>(SS) Rt 3018 / Old Carriage Rd [Seemsville]</v>
      </c>
      <c r="M44" s="13"/>
    </row>
    <row r="45" spans="1:13" ht="16.5">
      <c r="A45" s="9">
        <f>Compilation!E23</f>
        <v>27.9</v>
      </c>
      <c r="B45" s="9">
        <f t="shared" si="2"/>
        <v>27.9</v>
      </c>
      <c r="C45" s="9">
        <f t="shared" si="6"/>
        <v>1.5999999999999979</v>
      </c>
      <c r="D45" s="10" t="str">
        <f>TRIM(Compilation!F23)</f>
        <v>T R</v>
      </c>
      <c r="E45" s="11" t="str">
        <f>Compilation!I23</f>
        <v>Howertown Rd</v>
      </c>
      <c r="F45" s="32"/>
      <c r="G45" s="45">
        <f>Compilation!J23</f>
      </c>
      <c r="H45" s="3">
        <f t="shared" si="3"/>
      </c>
      <c r="I45" s="3">
        <f t="shared" si="4"/>
        <v>1</v>
      </c>
      <c r="J45" s="12">
        <f>IF(ISNUMBER(FIND("Controle",H45)),MATCH(H45,Controle!B:B,0),"")</f>
      </c>
      <c r="K45" s="7">
        <f t="shared" si="1"/>
        <v>0</v>
      </c>
      <c r="L45" s="7" t="str">
        <f t="shared" si="5"/>
        <v>Howertown Rd</v>
      </c>
      <c r="M45" s="13"/>
    </row>
    <row r="46" spans="1:13" ht="33">
      <c r="A46" s="9">
        <f>Compilation!E24</f>
        <v>28.3</v>
      </c>
      <c r="B46" s="9">
        <f t="shared" si="2"/>
        <v>28.3</v>
      </c>
      <c r="C46" s="9">
        <f>A46-A45</f>
        <v>0.40000000000000213</v>
      </c>
      <c r="D46" s="10" t="str">
        <f>TRIM(Compilation!F24)</f>
        <v>X</v>
      </c>
      <c r="E46" s="11" t="str">
        <f>Compilation!I24</f>
        <v>Kreidersville Rd (SS) b/c Indian Trail Rd</v>
      </c>
      <c r="F46" s="32"/>
      <c r="G46" s="45">
        <f>Compilation!J24</f>
      </c>
      <c r="H46" s="3">
        <f t="shared" si="3"/>
      </c>
      <c r="I46" s="3">
        <f>IF(LEFT(E46,8)="Controle",I45+1,I45)</f>
        <v>1</v>
      </c>
      <c r="J46" s="12">
        <f>IF(ISNUMBER(FIND("Controle",H46)),MATCH(H46,Controle!B:B,0),"")</f>
      </c>
      <c r="K46" s="7">
        <f>IF(H45&lt;&gt;"",A46,K45)</f>
        <v>0</v>
      </c>
      <c r="L46" s="7" t="str">
        <f t="shared" si="5"/>
        <v>Kreidersville Rd (SS) b/c Indian Trail Rd</v>
      </c>
      <c r="M46" s="13"/>
    </row>
    <row r="47" spans="1:13" ht="16.5">
      <c r="A47" s="9">
        <f>Compilation!E25</f>
        <v>31</v>
      </c>
      <c r="B47" s="9">
        <f t="shared" si="2"/>
        <v>31</v>
      </c>
      <c r="C47" s="9">
        <f t="shared" si="6"/>
        <v>2.6999999999999993</v>
      </c>
      <c r="D47" s="10" t="str">
        <f>TRIM(Compilation!F25)</f>
        <v>T R</v>
      </c>
      <c r="E47" s="11" t="str">
        <f>Compilation!I25</f>
        <v>Rt 248 / Lehigh Dr</v>
      </c>
      <c r="F47" s="32"/>
      <c r="G47" s="45">
        <f>Compilation!J25</f>
      </c>
      <c r="H47" s="3">
        <f t="shared" si="3"/>
      </c>
      <c r="I47" s="3">
        <f t="shared" si="4"/>
        <v>1</v>
      </c>
      <c r="J47" s="12">
        <f>IF(ISNUMBER(FIND("Controle",H47)),MATCH(H47,Controle!B:B,0),"")</f>
      </c>
      <c r="K47" s="7">
        <f t="shared" si="1"/>
        <v>0</v>
      </c>
      <c r="L47" s="7" t="str">
        <f t="shared" si="5"/>
        <v>Rt 248 / Lehigh Dr</v>
      </c>
      <c r="M47" s="13"/>
    </row>
    <row r="48" spans="1:13" ht="16.5">
      <c r="A48" s="9">
        <f>Compilation!E26</f>
        <v>31.3</v>
      </c>
      <c r="B48" s="9">
        <f t="shared" si="2"/>
        <v>31.3</v>
      </c>
      <c r="C48" s="9">
        <f t="shared" si="6"/>
        <v>0.3000000000000007</v>
      </c>
      <c r="D48" s="10" t="str">
        <f>TRIM(Compilation!F26)</f>
        <v>1st L</v>
      </c>
      <c r="E48" s="11" t="str">
        <f>Compilation!I26</f>
        <v>(TFL) Walnut Dr / Rt 4003</v>
      </c>
      <c r="F48" s="32"/>
      <c r="G48" s="45">
        <f>Compilation!J26</f>
      </c>
      <c r="H48" s="3">
        <f t="shared" si="3"/>
      </c>
      <c r="I48" s="3">
        <f t="shared" si="4"/>
        <v>1</v>
      </c>
      <c r="J48" s="12">
        <f>IF(ISNUMBER(FIND("Controle",H48)),MATCH(H48,Controle!B:B,0),"")</f>
      </c>
      <c r="K48" s="7">
        <f t="shared" si="1"/>
        <v>0</v>
      </c>
      <c r="L48" s="7" t="str">
        <f t="shared" si="5"/>
        <v>(TFL) Walnut Dr / Rt 4003</v>
      </c>
      <c r="M48" s="13"/>
    </row>
    <row r="49" spans="1:13" ht="16.5">
      <c r="A49" s="9">
        <f>Compilation!E27</f>
        <v>32.1</v>
      </c>
      <c r="B49" s="9">
        <f t="shared" si="2"/>
        <v>32.1</v>
      </c>
      <c r="C49" s="9">
        <f t="shared" si="6"/>
        <v>0.8000000000000007</v>
      </c>
      <c r="D49" s="10" t="str">
        <f>TRIM(Compilation!F27)</f>
        <v>B L</v>
      </c>
      <c r="E49" s="11" t="str">
        <f>Compilation!I27</f>
        <v>TRO Walnut Dr (at Murphy Rd)</v>
      </c>
      <c r="F49" s="32"/>
      <c r="G49" s="45">
        <f>Compilation!J27</f>
      </c>
      <c r="H49" s="3">
        <f t="shared" si="3"/>
      </c>
      <c r="I49" s="3">
        <f t="shared" si="4"/>
        <v>1</v>
      </c>
      <c r="J49" s="12">
        <f>IF(ISNUMBER(FIND("Controle",H49)),MATCH(H49,Controle!B:B,0),"")</f>
      </c>
      <c r="K49" s="7">
        <f t="shared" si="1"/>
        <v>0</v>
      </c>
      <c r="L49" s="7" t="str">
        <f t="shared" si="5"/>
        <v>TRO Walnut Dr (at Murphy Rd)</v>
      </c>
      <c r="M49" s="13"/>
    </row>
    <row r="50" spans="1:13" ht="33">
      <c r="A50" s="9">
        <f>Compilation!E28</f>
        <v>33.7</v>
      </c>
      <c r="B50" s="9">
        <f t="shared" si="2"/>
        <v>33.7</v>
      </c>
      <c r="C50" s="9">
        <f t="shared" si="6"/>
        <v>1.6000000000000014</v>
      </c>
      <c r="D50" s="10" t="str">
        <f>TRIM(Compilation!F28)</f>
        <v>B L</v>
      </c>
      <c r="E50" s="11" t="str">
        <f>Compilation!I28</f>
        <v>TRO Walnut Dr (at Dogwood Rd)</v>
      </c>
      <c r="F50" s="32"/>
      <c r="G50" s="45">
        <f>Compilation!J28</f>
      </c>
      <c r="H50" s="3">
        <f t="shared" si="3"/>
      </c>
      <c r="I50" s="3">
        <f t="shared" si="4"/>
        <v>1</v>
      </c>
      <c r="J50" s="12">
        <f>IF(ISNUMBER(FIND("Controle",H50)),MATCH(H50,Controle!B:B,0),"")</f>
      </c>
      <c r="K50" s="7">
        <f t="shared" si="1"/>
        <v>0</v>
      </c>
      <c r="L50" s="7" t="str">
        <f t="shared" si="5"/>
        <v>TRO Walnut Dr (at Dogwood Rd)</v>
      </c>
      <c r="M50" s="13"/>
    </row>
    <row r="51" spans="1:13" ht="16.5">
      <c r="A51" s="9">
        <f>Compilation!E29</f>
        <v>34.3</v>
      </c>
      <c r="B51" s="9">
        <f t="shared" si="2"/>
        <v>34.3</v>
      </c>
      <c r="C51" s="9">
        <f>A51-A50</f>
        <v>0.5999999999999943</v>
      </c>
      <c r="D51" s="10" t="str">
        <f>TRIM(Compilation!F29)</f>
        <v>T L</v>
      </c>
      <c r="E51" s="11" t="str">
        <f>Compilation!I29</f>
        <v>Rt 4018 / Elm Rd</v>
      </c>
      <c r="F51" s="32"/>
      <c r="G51" s="45">
        <f>Compilation!J29</f>
      </c>
      <c r="H51" s="3">
        <f t="shared" si="3"/>
      </c>
      <c r="I51" s="3">
        <f aca="true" t="shared" si="7" ref="I51:I57">IF(LEFT(E51,8)="Controle",I50+1,I50)</f>
        <v>1</v>
      </c>
      <c r="J51" s="12">
        <f>IF(ISNUMBER(FIND("Controle",H51)),MATCH(H51,Controle!B:B,0),"")</f>
      </c>
      <c r="K51" s="7">
        <f>IF(H50&lt;&gt;"",A51,K50)</f>
        <v>0</v>
      </c>
      <c r="L51" s="7" t="str">
        <f t="shared" si="5"/>
        <v>Rt 4018 / Elm Rd</v>
      </c>
      <c r="M51" s="13"/>
    </row>
    <row r="52" spans="1:13" ht="16.5">
      <c r="A52" s="9">
        <f>Compilation!E30</f>
        <v>34.5</v>
      </c>
      <c r="B52" s="9">
        <f t="shared" si="2"/>
        <v>34.5</v>
      </c>
      <c r="C52" s="9">
        <f>A52-A51</f>
        <v>0.20000000000000284</v>
      </c>
      <c r="D52" s="10" t="str">
        <f>TRIM(Compilation!F30)</f>
        <v>T R</v>
      </c>
      <c r="E52" s="11" t="str">
        <f>Compilation!I30</f>
        <v>Blue Mountain Dr / Rt 4001</v>
      </c>
      <c r="F52" s="32"/>
      <c r="G52" s="45">
        <f>Compilation!J30</f>
      </c>
      <c r="H52" s="3">
        <f t="shared" si="3"/>
      </c>
      <c r="I52" s="3">
        <f t="shared" si="7"/>
        <v>1</v>
      </c>
      <c r="J52" s="12">
        <f>IF(ISNUMBER(FIND("Controle",H52)),MATCH(H52,Controle!B:B,0),"")</f>
      </c>
      <c r="K52" s="7">
        <f>IF(H51&lt;&gt;"",A52,K51)</f>
        <v>0</v>
      </c>
      <c r="L52" s="7" t="str">
        <f t="shared" si="5"/>
        <v>Blue Mountain Dr / Rt 4001</v>
      </c>
      <c r="M52" s="13"/>
    </row>
    <row r="53" spans="1:13" ht="33">
      <c r="A53" s="9">
        <f>Compilation!E31</f>
        <v>35.5</v>
      </c>
      <c r="B53" s="9">
        <f t="shared" si="2"/>
        <v>35.5</v>
      </c>
      <c r="C53" s="9">
        <f>A53-A52</f>
        <v>1</v>
      </c>
      <c r="D53" s="10" t="str">
        <f>TRIM(Compilation!F31)</f>
        <v>L</v>
      </c>
      <c r="E53" s="11" t="str">
        <f>Compilation!I31</f>
        <v>(TFL) Rt 946 / Mountain View Rd</v>
      </c>
      <c r="F53" s="32"/>
      <c r="G53" s="45">
        <f>Compilation!J31</f>
      </c>
      <c r="H53" s="3">
        <f t="shared" si="3"/>
      </c>
      <c r="I53" s="3">
        <f t="shared" si="7"/>
        <v>1</v>
      </c>
      <c r="J53" s="12">
        <f>IF(ISNUMBER(FIND("Controle",H53)),MATCH(H53,Controle!B:B,0),"")</f>
      </c>
      <c r="K53" s="7">
        <f>IF(H52&lt;&gt;"",A53,K52)</f>
        <v>0</v>
      </c>
      <c r="L53" s="7" t="str">
        <f t="shared" si="5"/>
        <v>(TFL) Rt 946 / Mountain View Rd</v>
      </c>
      <c r="M53" s="13"/>
    </row>
    <row r="54" spans="1:13" ht="33.75" thickBot="1">
      <c r="A54" s="9">
        <f>Compilation!E32</f>
        <v>35.6</v>
      </c>
      <c r="B54" s="9">
        <f t="shared" si="2"/>
        <v>35.6</v>
      </c>
      <c r="C54" s="9">
        <f>A54-A53</f>
        <v>0.10000000000000142</v>
      </c>
      <c r="D54" s="10" t="str">
        <f>TRIM(Compilation!F32)</f>
        <v>STOP</v>
      </c>
      <c r="E54" s="11" t="str">
        <f>Compilation!I32</f>
        <v>Controle Shell Mini Mart (on right) </v>
      </c>
      <c r="F54" s="32"/>
      <c r="G54" s="45" t="str">
        <f>Compilation!J32</f>
        <v>MiniMart</v>
      </c>
      <c r="H54" s="3" t="str">
        <f t="shared" si="3"/>
        <v>Controle 2</v>
      </c>
      <c r="I54" s="3">
        <f t="shared" si="7"/>
        <v>2</v>
      </c>
      <c r="J54" s="12">
        <f>IF(ISNUMBER(FIND("Controle",H54)),MATCH(H54,Controle!B:B,0),"")</f>
        <v>6</v>
      </c>
      <c r="K54" s="7">
        <f>IF(H53&lt;&gt;"",A54,K53)</f>
        <v>0</v>
      </c>
      <c r="L54" s="7" t="str">
        <f t="shared" si="5"/>
        <v>Controle Shell Mini Mart (on right) </v>
      </c>
      <c r="M54" s="13"/>
    </row>
    <row r="55" spans="1:12" ht="16.5">
      <c r="A55" s="53" t="str">
        <f>INDEX(Controle!H:H,Cue!J54)&amp;" "</f>
        <v>Controle 2 Shell Station (610) 767-3786 </v>
      </c>
      <c r="B55" s="54"/>
      <c r="C55" s="54"/>
      <c r="D55" s="54"/>
      <c r="E55" s="55"/>
      <c r="F55" s="30"/>
      <c r="G55" s="43"/>
      <c r="H55" s="3">
        <f>IF(ISNUMBER(FIND("Controle",E55)),LEFT(E55,FIND(" ",E55,10)-1),"")</f>
      </c>
      <c r="I55" s="3">
        <f t="shared" si="7"/>
        <v>2</v>
      </c>
      <c r="J55" s="12">
        <f>IF(ISNUMBER(FIND("Controle",H55)),MATCH(H55,Controle!B:B,0),"")</f>
      </c>
      <c r="K55" s="7">
        <f>IF(B54="Leg",A55,K54)</f>
        <v>0</v>
      </c>
      <c r="L55" s="7">
        <f t="shared" si="5"/>
        <v>0</v>
      </c>
    </row>
    <row r="56" spans="1:12" ht="16.5">
      <c r="A56" s="50" t="str">
        <f>INDEX(Controle!H:H,Cue!J54+1)&amp;" "</f>
        <v>4024 Mountain View Dr / Rt 946, Danielsville, PA </v>
      </c>
      <c r="B56" s="51"/>
      <c r="C56" s="51"/>
      <c r="D56" s="51"/>
      <c r="E56" s="52"/>
      <c r="F56" s="30"/>
      <c r="G56" s="43"/>
      <c r="H56" s="3">
        <f>IF(ISNUMBER(FIND("Controle",E56)),LEFT(E56,FIND(" ",E56,10)-1),"")</f>
      </c>
      <c r="I56" s="3">
        <f t="shared" si="7"/>
        <v>2</v>
      </c>
      <c r="J56" s="12">
        <f>IF(ISNUMBER(FIND("Controle",H56)),MATCH(H56,Controle!B:B,0),"")</f>
      </c>
      <c r="K56" s="7">
        <f>IF(B55="Leg",A56,K55)</f>
        <v>0</v>
      </c>
      <c r="L56" s="7">
        <f t="shared" si="5"/>
        <v>0</v>
      </c>
    </row>
    <row r="57" spans="1:13" ht="17.25" thickBot="1">
      <c r="A57" s="47" t="str">
        <f>INDEX(Controle!H:H,Cue!J54+2)&amp;" "</f>
        <v>open: 08/08 05:42  close: 08/08 07:52 </v>
      </c>
      <c r="B57" s="48"/>
      <c r="C57" s="48"/>
      <c r="D57" s="48"/>
      <c r="E57" s="49"/>
      <c r="F57" s="31"/>
      <c r="G57" s="44"/>
      <c r="H57" s="3">
        <f>IF(ISNUMBER(FIND("Controle",E57)),LEFT(E57,FIND(" ",E57,10)-1),"")</f>
      </c>
      <c r="I57" s="3">
        <f t="shared" si="7"/>
        <v>2</v>
      </c>
      <c r="J57" s="12">
        <f>IF(ISNUMBER(FIND("Controle",H57)),MATCH(H57,Controle!B:B,0),"")</f>
      </c>
      <c r="K57" s="7">
        <f>IF(B56="Leg",A57,K56)</f>
        <v>0</v>
      </c>
      <c r="L57" s="7">
        <f t="shared" si="5"/>
        <v>0</v>
      </c>
      <c r="M57" s="8"/>
    </row>
    <row r="58" spans="1:13" ht="33">
      <c r="A58" s="9">
        <f>Compilation!E33</f>
        <v>35.6</v>
      </c>
      <c r="B58" s="9">
        <f>A58-K58</f>
        <v>0</v>
      </c>
      <c r="C58" s="9">
        <f>A58-A54</f>
        <v>0</v>
      </c>
      <c r="D58" s="10" t="str">
        <f>TRIM(Compilation!F33)</f>
        <v>Backtrack</v>
      </c>
      <c r="E58" s="11" t="str">
        <f>Compilation!I33</f>
        <v>Leave driveway turning left onto Rt 946 (reverse direction) </v>
      </c>
      <c r="F58" s="32"/>
      <c r="G58" s="45" t="str">
        <f>Compilation!J33</f>
        <v>Limited services ahead</v>
      </c>
      <c r="H58" s="3">
        <f>IF(ISNUMBER(FIND("Controle",E58)),"Controle "&amp;I58,"")</f>
      </c>
      <c r="I58" s="3">
        <f>IF(LEFT(E58,8)="Controle",I54+1,I54)</f>
        <v>2</v>
      </c>
      <c r="J58" s="12">
        <f>IF(ISNUMBER(FIND("Controle",H58)),MATCH(H58,Controle!B:B,0),"")</f>
      </c>
      <c r="K58" s="7">
        <f>IF(H54&lt;&gt;"",A58,K54)</f>
        <v>35.6</v>
      </c>
      <c r="L58" s="7" t="str">
        <f>E58</f>
        <v>Leave driveway turning left onto Rt 946 (reverse direction) </v>
      </c>
      <c r="M58" s="13"/>
    </row>
    <row r="59" spans="1:13" ht="33">
      <c r="A59" s="9">
        <f>Compilation!E34</f>
        <v>35.7</v>
      </c>
      <c r="B59" s="9">
        <f>A59-K59</f>
        <v>0.10000000000000142</v>
      </c>
      <c r="C59" s="9">
        <f>A59-A58</f>
        <v>0.10000000000000142</v>
      </c>
      <c r="D59" s="10" t="str">
        <f>TRIM(Compilation!F34)</f>
        <v>1st L</v>
      </c>
      <c r="E59" s="11" t="str">
        <f>Compilation!I34</f>
        <v>(TFL) Blue Mountain Dr / Rt 4001</v>
      </c>
      <c r="F59" s="32"/>
      <c r="G59" s="45">
        <f>Compilation!J34</f>
      </c>
      <c r="H59" s="3">
        <f>IF(ISNUMBER(FIND("Controle",E59)),"Controle "&amp;I59,"")</f>
      </c>
      <c r="I59" s="3">
        <f>IF(LEFT(E59,8)="Controle",I58+1,I58)</f>
        <v>2</v>
      </c>
      <c r="J59" s="12">
        <f>IF(ISNUMBER(FIND("Controle",H59)),MATCH(H59,Controle!B:B,0),"")</f>
      </c>
      <c r="K59" s="7">
        <f>IF(H58&lt;&gt;"",A59,K58)</f>
        <v>35.6</v>
      </c>
      <c r="L59" s="7" t="str">
        <f>E59</f>
        <v>(TFL) Blue Mountain Dr / Rt 4001</v>
      </c>
      <c r="M59" s="13"/>
    </row>
    <row r="60" spans="1:13" ht="33">
      <c r="A60" s="9">
        <f>Compilation!E35</f>
        <v>37.2</v>
      </c>
      <c r="B60" s="9">
        <f aca="true" t="shared" si="8" ref="B60:B126">A60-K60</f>
        <v>1.6000000000000014</v>
      </c>
      <c r="C60" s="9">
        <f aca="true" t="shared" si="9" ref="C60:C126">A60-A59</f>
        <v>1.5</v>
      </c>
      <c r="D60" s="10" t="str">
        <f>TRIM(Compilation!F35)</f>
        <v>X</v>
      </c>
      <c r="E60" s="11" t="str">
        <f>Compilation!I35</f>
        <v>Appalachian Trail (at top of climb) CAUTION on descent</v>
      </c>
      <c r="F60" s="32"/>
      <c r="G60" s="45">
        <f>Compilation!J35</f>
      </c>
      <c r="H60" s="3">
        <f aca="true" t="shared" si="10" ref="H60:H126">IF(ISNUMBER(FIND("Controle",E60)),"Controle "&amp;I60,"")</f>
      </c>
      <c r="I60" s="3">
        <f aca="true" t="shared" si="11" ref="I60:I126">IF(LEFT(E60,8)="Controle",I59+1,I59)</f>
        <v>2</v>
      </c>
      <c r="J60" s="12">
        <f>IF(ISNUMBER(FIND("Controle",H60)),MATCH(H60,Controle!B:B,0),"")</f>
      </c>
      <c r="K60" s="7">
        <f aca="true" t="shared" si="12" ref="K60:K126">IF(H59&lt;&gt;"",A60,K59)</f>
        <v>35.6</v>
      </c>
      <c r="L60" s="7" t="str">
        <f aca="true" t="shared" si="13" ref="L60:L126">E60</f>
        <v>Appalachian Trail (at top of climb) CAUTION on descent</v>
      </c>
      <c r="M60" s="13"/>
    </row>
    <row r="61" spans="1:13" ht="33">
      <c r="A61" s="9">
        <f>Compilation!E36</f>
        <v>39.1</v>
      </c>
      <c r="B61" s="9">
        <f t="shared" si="8"/>
        <v>3.5</v>
      </c>
      <c r="C61" s="9">
        <f t="shared" si="9"/>
        <v>1.8999999999999986</v>
      </c>
      <c r="D61" s="10" t="str">
        <f>TRIM(Compilation!F36)</f>
        <v>T R</v>
      </c>
      <c r="E61" s="11" t="str">
        <f>Compilation!I36</f>
        <v>Lower Smith Gap Rd / Rt 3002 (bottom of descent)</v>
      </c>
      <c r="F61" s="32"/>
      <c r="G61" s="45">
        <f>Compilation!J36</f>
      </c>
      <c r="H61" s="3">
        <f t="shared" si="10"/>
      </c>
      <c r="I61" s="3">
        <f t="shared" si="11"/>
        <v>2</v>
      </c>
      <c r="J61" s="12">
        <f>IF(ISNUMBER(FIND("Controle",H61)),MATCH(H61,Controle!B:B,0),"")</f>
      </c>
      <c r="K61" s="7">
        <f t="shared" si="12"/>
        <v>35.6</v>
      </c>
      <c r="L61" s="7" t="str">
        <f t="shared" si="13"/>
        <v>Lower Smith Gap Rd / Rt 3002 (bottom of descent)</v>
      </c>
      <c r="M61" s="13"/>
    </row>
    <row r="62" spans="1:13" ht="33">
      <c r="A62" s="9">
        <f>Compilation!E37</f>
        <v>43.1</v>
      </c>
      <c r="B62" s="9">
        <f t="shared" si="8"/>
        <v>7.5</v>
      </c>
      <c r="C62" s="9">
        <f t="shared" si="9"/>
        <v>4</v>
      </c>
      <c r="D62" s="10" t="str">
        <f>TRIM(Compilation!F37)</f>
        <v>B R</v>
      </c>
      <c r="E62" s="11" t="str">
        <f>Compilation!I37</f>
        <v>TRO Lower Smith Gap Rd / Rt 3002 (at Schaffer Rd)</v>
      </c>
      <c r="F62" s="32"/>
      <c r="G62" s="45">
        <f>Compilation!J37</f>
      </c>
      <c r="H62" s="3">
        <f t="shared" si="10"/>
      </c>
      <c r="I62" s="3">
        <f t="shared" si="11"/>
        <v>2</v>
      </c>
      <c r="J62" s="12">
        <f>IF(ISNUMBER(FIND("Controle",H62)),MATCH(H62,Controle!B:B,0),"")</f>
      </c>
      <c r="K62" s="7">
        <f t="shared" si="12"/>
        <v>35.6</v>
      </c>
      <c r="L62" s="7" t="str">
        <f t="shared" si="13"/>
        <v>TRO Lower Smith Gap Rd / Rt 3002 (at Schaffer Rd)</v>
      </c>
      <c r="M62" s="13"/>
    </row>
    <row r="63" spans="1:13" ht="49.5">
      <c r="A63" s="9">
        <f>Compilation!E38</f>
        <v>48.4</v>
      </c>
      <c r="B63" s="9">
        <f t="shared" si="8"/>
        <v>12.799999999999997</v>
      </c>
      <c r="C63" s="9">
        <f t="shared" si="9"/>
        <v>5.299999999999997</v>
      </c>
      <c r="D63" s="10" t="str">
        <f>TRIM(Compilation!F38)</f>
        <v>***L</v>
      </c>
      <c r="E63" s="11" t="str">
        <f>Compilation!I38</f>
        <v>TRO Rt 3002 / Upper Smith Gap Rd (3-way Jct).."15 MPH" turn (Mountain Rd goes straight)</v>
      </c>
      <c r="F63" s="32"/>
      <c r="G63" s="45">
        <f>Compilation!J38</f>
      </c>
      <c r="H63" s="3">
        <f t="shared" si="10"/>
      </c>
      <c r="I63" s="3">
        <f t="shared" si="11"/>
        <v>2</v>
      </c>
      <c r="J63" s="12">
        <f>IF(ISNUMBER(FIND("Controle",H63)),MATCH(H63,Controle!B:B,0),"")</f>
      </c>
      <c r="K63" s="7">
        <f t="shared" si="12"/>
        <v>35.6</v>
      </c>
      <c r="L63" s="7" t="str">
        <f t="shared" si="13"/>
        <v>TRO Rt 3002 / Upper Smith Gap Rd (3-way Jct).."15 MPH" turn (Mountain Rd goes straight)</v>
      </c>
      <c r="M63" s="13"/>
    </row>
    <row r="64" spans="1:13" ht="33">
      <c r="A64" s="9">
        <f>Compilation!E39</f>
        <v>50.8</v>
      </c>
      <c r="B64" s="9">
        <f t="shared" si="8"/>
        <v>15.199999999999996</v>
      </c>
      <c r="C64" s="9">
        <f t="shared" si="9"/>
        <v>2.3999999999999986</v>
      </c>
      <c r="D64" s="10" t="str">
        <f>TRIM(Compilation!F39)</f>
        <v>X</v>
      </c>
      <c r="E64" s="11" t="str">
        <f>Compilation!I39</f>
        <v>Rt 3015 / Mt Eaton Rd (SS) now on Faulstick Rd </v>
      </c>
      <c r="F64" s="32"/>
      <c r="G64" s="45" t="str">
        <f>Compilation!J39</f>
        <v>Wind Gap vista on right</v>
      </c>
      <c r="H64" s="3">
        <f t="shared" si="10"/>
      </c>
      <c r="I64" s="3">
        <f t="shared" si="11"/>
        <v>2</v>
      </c>
      <c r="J64" s="12">
        <f>IF(ISNUMBER(FIND("Controle",H64)),MATCH(H64,Controle!B:B,0),"")</f>
      </c>
      <c r="K64" s="7">
        <f t="shared" si="12"/>
        <v>35.6</v>
      </c>
      <c r="L64" s="7" t="str">
        <f t="shared" si="13"/>
        <v>Rt 3015 / Mt Eaton Rd (SS) now on Faulstick Rd </v>
      </c>
      <c r="M64" s="13"/>
    </row>
    <row r="65" spans="1:13" ht="33">
      <c r="A65" s="9">
        <f>Compilation!E40</f>
        <v>52.5</v>
      </c>
      <c r="B65" s="9">
        <f t="shared" si="8"/>
        <v>16.9</v>
      </c>
      <c r="C65" s="9">
        <f t="shared" si="9"/>
        <v>1.7000000000000028</v>
      </c>
      <c r="D65" s="10" t="str">
        <f>TRIM(Compilation!F40)</f>
        <v>T R</v>
      </c>
      <c r="E65" s="11" t="str">
        <f>Compilation!I40</f>
        <v>(SS) (unmarked) Rt 115 / Hamilton South</v>
      </c>
      <c r="F65" s="32"/>
      <c r="G65" s="45">
        <f>Compilation!J40</f>
      </c>
      <c r="H65" s="3">
        <f t="shared" si="10"/>
      </c>
      <c r="I65" s="3">
        <f t="shared" si="11"/>
        <v>2</v>
      </c>
      <c r="J65" s="12">
        <f>IF(ISNUMBER(FIND("Controle",H65)),MATCH(H65,Controle!B:B,0),"")</f>
      </c>
      <c r="K65" s="7">
        <f t="shared" si="12"/>
        <v>35.6</v>
      </c>
      <c r="L65" s="7" t="str">
        <f t="shared" si="13"/>
        <v>(SS) (unmarked) Rt 115 / Hamilton South</v>
      </c>
      <c r="M65" s="13"/>
    </row>
    <row r="66" spans="1:13" ht="33">
      <c r="A66" s="9">
        <f>Compilation!E41</f>
        <v>53</v>
      </c>
      <c r="B66" s="9">
        <f t="shared" si="8"/>
        <v>17.4</v>
      </c>
      <c r="C66" s="9">
        <f t="shared" si="9"/>
        <v>0.5</v>
      </c>
      <c r="D66" s="10" t="str">
        <f>TRIM(Compilation!F41)</f>
        <v>L</v>
      </c>
      <c r="E66" s="11" t="str">
        <f>Compilation!I41</f>
        <v>L Cherry Valley Rd / Rt 2002 .."Kemmertown 4".."Winery"</v>
      </c>
      <c r="F66" s="32"/>
      <c r="G66" s="45">
        <f>Compilation!J41</f>
      </c>
      <c r="H66" s="3">
        <f t="shared" si="10"/>
      </c>
      <c r="I66" s="3">
        <f t="shared" si="11"/>
        <v>2</v>
      </c>
      <c r="J66" s="12">
        <f>IF(ISNUMBER(FIND("Controle",H66)),MATCH(H66,Controle!B:B,0),"")</f>
      </c>
      <c r="K66" s="7">
        <f t="shared" si="12"/>
        <v>35.6</v>
      </c>
      <c r="L66" s="7" t="str">
        <f t="shared" si="13"/>
        <v>L Cherry Valley Rd / Rt 2002 .."Kemmertown 4".."Winery"</v>
      </c>
      <c r="M66" s="13"/>
    </row>
    <row r="67" spans="1:13" ht="16.5">
      <c r="A67" s="9">
        <f>Compilation!E42</f>
        <v>55.6</v>
      </c>
      <c r="B67" s="9">
        <f t="shared" si="8"/>
        <v>20</v>
      </c>
      <c r="C67" s="9">
        <f t="shared" si="9"/>
        <v>2.6000000000000014</v>
      </c>
      <c r="D67" s="10" t="str">
        <f>TRIM(Compilation!F42)</f>
        <v>Pass</v>
      </c>
      <c r="E67" s="11" t="str">
        <f>Compilation!I42</f>
        <v>Cherry Valley Apiaries</v>
      </c>
      <c r="F67" s="32"/>
      <c r="G67" s="45">
        <f>Compilation!J42</f>
      </c>
      <c r="H67" s="3">
        <f t="shared" si="10"/>
      </c>
      <c r="I67" s="3">
        <f t="shared" si="11"/>
        <v>2</v>
      </c>
      <c r="J67" s="12">
        <f>IF(ISNUMBER(FIND("Controle",H67)),MATCH(H67,Controle!B:B,0),"")</f>
      </c>
      <c r="K67" s="7">
        <f t="shared" si="12"/>
        <v>35.6</v>
      </c>
      <c r="L67" s="7" t="str">
        <f t="shared" si="13"/>
        <v>Cherry Valley Apiaries</v>
      </c>
      <c r="M67" s="13"/>
    </row>
    <row r="68" spans="1:13" ht="16.5">
      <c r="A68" s="9">
        <f>Compilation!E43</f>
        <v>57.2</v>
      </c>
      <c r="B68" s="9">
        <f t="shared" si="8"/>
        <v>21.6</v>
      </c>
      <c r="C68" s="9">
        <f t="shared" si="9"/>
        <v>1.6000000000000014</v>
      </c>
      <c r="D68" s="10" t="str">
        <f>TRIM(Compilation!F43)</f>
        <v>***2nd L</v>
      </c>
      <c r="E68" s="11" t="str">
        <f>Compilation!I43</f>
        <v>Fetherman Rd (sign hidden)</v>
      </c>
      <c r="F68" s="32"/>
      <c r="G68" s="45">
        <f>Compilation!J43</f>
      </c>
      <c r="H68" s="3">
        <f t="shared" si="10"/>
      </c>
      <c r="I68" s="3">
        <f t="shared" si="11"/>
        <v>2</v>
      </c>
      <c r="J68" s="12">
        <f>IF(ISNUMBER(FIND("Controle",H68)),MATCH(H68,Controle!B:B,0),"")</f>
      </c>
      <c r="K68" s="7">
        <f t="shared" si="12"/>
        <v>35.6</v>
      </c>
      <c r="L68" s="7" t="str">
        <f t="shared" si="13"/>
        <v>Fetherman Rd (sign hidden)</v>
      </c>
      <c r="M68" s="13"/>
    </row>
    <row r="69" spans="1:13" ht="16.5">
      <c r="A69" s="9">
        <f>Compilation!E44</f>
        <v>58.4</v>
      </c>
      <c r="B69" s="9">
        <f t="shared" si="8"/>
        <v>22.799999999999997</v>
      </c>
      <c r="C69" s="9">
        <f t="shared" si="9"/>
        <v>1.1999999999999957</v>
      </c>
      <c r="D69" s="10" t="str">
        <f>TRIM(Compilation!F44)</f>
        <v>T R</v>
      </c>
      <c r="E69" s="11" t="str">
        <f>Compilation!I44</f>
        <v>(SS) Cherry Valley Lr</v>
      </c>
      <c r="F69" s="32"/>
      <c r="G69" s="45">
        <f>Compilation!J44</f>
      </c>
      <c r="H69" s="3">
        <f t="shared" si="10"/>
      </c>
      <c r="I69" s="3">
        <f t="shared" si="11"/>
        <v>2</v>
      </c>
      <c r="J69" s="12">
        <f>IF(ISNUMBER(FIND("Controle",H69)),MATCH(H69,Controle!B:B,0),"")</f>
      </c>
      <c r="K69" s="7">
        <f t="shared" si="12"/>
        <v>35.6</v>
      </c>
      <c r="L69" s="7" t="str">
        <f t="shared" si="13"/>
        <v>(SS) Cherry Valley Lr</v>
      </c>
      <c r="M69" s="13"/>
    </row>
    <row r="70" spans="1:13" ht="33">
      <c r="A70" s="9">
        <f>Compilation!E45</f>
        <v>60</v>
      </c>
      <c r="B70" s="9">
        <f t="shared" si="8"/>
        <v>24.4</v>
      </c>
      <c r="C70" s="9">
        <f t="shared" si="9"/>
        <v>1.6000000000000014</v>
      </c>
      <c r="D70" s="10" t="str">
        <f>TRIM(Compilation!F45)</f>
        <v>B R</v>
      </c>
      <c r="E70" s="11" t="str">
        <f>Compilation!I45</f>
        <v>TRO Cherry Valley Rd / Rt 2006 (Del Water Gap sign)</v>
      </c>
      <c r="F70" s="32"/>
      <c r="G70" s="45">
        <f>Compilation!J45</f>
      </c>
      <c r="H70" s="3">
        <f t="shared" si="10"/>
      </c>
      <c r="I70" s="3">
        <f t="shared" si="11"/>
        <v>2</v>
      </c>
      <c r="J70" s="12">
        <f>IF(ISNUMBER(FIND("Controle",H70)),MATCH(H70,Controle!B:B,0),"")</f>
      </c>
      <c r="K70" s="7">
        <f t="shared" si="12"/>
        <v>35.6</v>
      </c>
      <c r="L70" s="7" t="str">
        <f t="shared" si="13"/>
        <v>TRO Cherry Valley Rd / Rt 2006 (Del Water Gap sign)</v>
      </c>
      <c r="M70" s="13"/>
    </row>
    <row r="71" spans="1:13" ht="33">
      <c r="A71" s="9">
        <f>Compilation!E46</f>
        <v>62.7</v>
      </c>
      <c r="B71" s="9">
        <f t="shared" si="8"/>
        <v>27.1</v>
      </c>
      <c r="C71" s="9">
        <f t="shared" si="9"/>
        <v>2.700000000000003</v>
      </c>
      <c r="D71" s="10" t="str">
        <f>TRIM(Compilation!F46)</f>
        <v>T R</v>
      </c>
      <c r="E71" s="11" t="str">
        <f>Compilation!I46</f>
        <v>(SS) Rt 191 (Begin long climb to Fox Gap)</v>
      </c>
      <c r="F71" s="32"/>
      <c r="G71" s="45">
        <f>Compilation!J46</f>
      </c>
      <c r="H71" s="3">
        <f t="shared" si="10"/>
      </c>
      <c r="I71" s="3">
        <f t="shared" si="11"/>
        <v>2</v>
      </c>
      <c r="J71" s="12">
        <f>IF(ISNUMBER(FIND("Controle",H71)),MATCH(H71,Controle!B:B,0),"")</f>
      </c>
      <c r="K71" s="7">
        <f t="shared" si="12"/>
        <v>35.6</v>
      </c>
      <c r="L71" s="7" t="str">
        <f t="shared" si="13"/>
        <v>(SS) Rt 191 (Begin long climb to Fox Gap)</v>
      </c>
      <c r="M71" s="13"/>
    </row>
    <row r="72" spans="1:13" ht="33">
      <c r="A72" s="9">
        <f>Compilation!E47</f>
        <v>65.2</v>
      </c>
      <c r="B72" s="9">
        <f t="shared" si="8"/>
        <v>29.6</v>
      </c>
      <c r="C72" s="9">
        <f t="shared" si="9"/>
        <v>2.5</v>
      </c>
      <c r="D72" s="10" t="str">
        <f>TRIM(Compilation!F47)</f>
        <v>X</v>
      </c>
      <c r="E72" s="11" t="str">
        <f>Compilation!I47</f>
        <v>Appalachian Trail (at top of climb)</v>
      </c>
      <c r="F72" s="32"/>
      <c r="G72" s="45">
        <f>Compilation!J47</f>
      </c>
      <c r="H72" s="3">
        <f t="shared" si="10"/>
      </c>
      <c r="I72" s="3">
        <f t="shared" si="11"/>
        <v>2</v>
      </c>
      <c r="J72" s="12">
        <f>IF(ISNUMBER(FIND("Controle",H72)),MATCH(H72,Controle!B:B,0),"")</f>
      </c>
      <c r="K72" s="7">
        <f t="shared" si="12"/>
        <v>35.6</v>
      </c>
      <c r="L72" s="7" t="str">
        <f t="shared" si="13"/>
        <v>Appalachian Trail (at top of climb)</v>
      </c>
      <c r="M72" s="13"/>
    </row>
    <row r="73" spans="1:13" ht="16.5">
      <c r="A73" s="9">
        <f>Compilation!E48</f>
        <v>65.5</v>
      </c>
      <c r="B73" s="9">
        <f t="shared" si="8"/>
        <v>29.9</v>
      </c>
      <c r="C73" s="9">
        <f t="shared" si="9"/>
        <v>0.29999999999999716</v>
      </c>
      <c r="D73" s="10" t="str">
        <f>TRIM(Compilation!F48)</f>
        <v>1st L</v>
      </c>
      <c r="E73" s="11" t="str">
        <f>Compilation!I48</f>
        <v>Fox Gap Rd</v>
      </c>
      <c r="F73" s="32"/>
      <c r="G73" s="45">
        <f>Compilation!J48</f>
      </c>
      <c r="H73" s="3">
        <f t="shared" si="10"/>
      </c>
      <c r="I73" s="3">
        <f t="shared" si="11"/>
        <v>2</v>
      </c>
      <c r="J73" s="12">
        <f>IF(ISNUMBER(FIND("Controle",H73)),MATCH(H73,Controle!B:B,0),"")</f>
      </c>
      <c r="K73" s="7">
        <f t="shared" si="12"/>
        <v>35.6</v>
      </c>
      <c r="L73" s="7" t="str">
        <f t="shared" si="13"/>
        <v>Fox Gap Rd</v>
      </c>
      <c r="M73" s="13"/>
    </row>
    <row r="74" spans="1:13" ht="16.5">
      <c r="A74" s="9">
        <f>Compilation!E49</f>
        <v>66</v>
      </c>
      <c r="B74" s="9">
        <f t="shared" si="8"/>
        <v>30.4</v>
      </c>
      <c r="C74" s="9">
        <f t="shared" si="9"/>
        <v>0.5</v>
      </c>
      <c r="D74" s="10" t="str">
        <f>TRIM(Compilation!F49)</f>
        <v>1st L</v>
      </c>
      <c r="E74" s="11" t="str">
        <f>Compilation!I49</f>
        <v>Quaker Plain Rd</v>
      </c>
      <c r="F74" s="32"/>
      <c r="G74" s="45">
        <f>Compilation!J49</f>
      </c>
      <c r="H74" s="3">
        <f t="shared" si="10"/>
      </c>
      <c r="I74" s="3">
        <f t="shared" si="11"/>
        <v>2</v>
      </c>
      <c r="J74" s="12">
        <f>IF(ISNUMBER(FIND("Controle",H74)),MATCH(H74,Controle!B:B,0),"")</f>
      </c>
      <c r="K74" s="7">
        <f t="shared" si="12"/>
        <v>35.6</v>
      </c>
      <c r="L74" s="7" t="str">
        <f t="shared" si="13"/>
        <v>Quaker Plain Rd</v>
      </c>
      <c r="M74" s="13"/>
    </row>
    <row r="75" spans="1:13" ht="16.5">
      <c r="A75" s="9">
        <f>Compilation!E50</f>
        <v>66.5</v>
      </c>
      <c r="B75" s="9">
        <f t="shared" si="8"/>
        <v>30.9</v>
      </c>
      <c r="C75" s="9">
        <f t="shared" si="9"/>
        <v>0.5</v>
      </c>
      <c r="D75" s="10" t="str">
        <f>TRIM(Compilation!F50)</f>
        <v>B L</v>
      </c>
      <c r="E75" s="11" t="str">
        <f>Compilation!I50</f>
        <v>(SS) TRO Quaker Plain Rd</v>
      </c>
      <c r="F75" s="32"/>
      <c r="G75" s="45">
        <f>Compilation!J50</f>
      </c>
      <c r="H75" s="3">
        <f t="shared" si="10"/>
      </c>
      <c r="I75" s="3">
        <f t="shared" si="11"/>
        <v>2</v>
      </c>
      <c r="J75" s="12">
        <f>IF(ISNUMBER(FIND("Controle",H75)),MATCH(H75,Controle!B:B,0),"")</f>
      </c>
      <c r="K75" s="7">
        <f t="shared" si="12"/>
        <v>35.6</v>
      </c>
      <c r="L75" s="7" t="str">
        <f t="shared" si="13"/>
        <v>(SS) TRO Quaker Plain Rd</v>
      </c>
      <c r="M75" s="13"/>
    </row>
    <row r="76" spans="1:13" ht="16.5">
      <c r="A76" s="9">
        <f>Compilation!E51</f>
        <v>67.3</v>
      </c>
      <c r="B76" s="9">
        <f t="shared" si="8"/>
        <v>31.699999999999996</v>
      </c>
      <c r="C76" s="9">
        <f t="shared" si="9"/>
        <v>0.7999999999999972</v>
      </c>
      <c r="D76" s="10" t="str">
        <f>TRIM(Compilation!F51)</f>
        <v>B R</v>
      </c>
      <c r="E76" s="11" t="str">
        <f>Compilation!I51</f>
        <v>(SS) Blue Mountain Dr </v>
      </c>
      <c r="F76" s="32"/>
      <c r="G76" s="45">
        <f>Compilation!J51</f>
      </c>
      <c r="H76" s="3">
        <f t="shared" si="10"/>
      </c>
      <c r="I76" s="3">
        <f t="shared" si="11"/>
        <v>2</v>
      </c>
      <c r="J76" s="12">
        <f>IF(ISNUMBER(FIND("Controle",H76)),MATCH(H76,Controle!B:B,0),"")</f>
      </c>
      <c r="K76" s="7">
        <f t="shared" si="12"/>
        <v>35.6</v>
      </c>
      <c r="L76" s="7" t="str">
        <f t="shared" si="13"/>
        <v>(SS) Blue Mountain Dr </v>
      </c>
      <c r="M76" s="13"/>
    </row>
    <row r="77" spans="1:13" ht="16.5">
      <c r="A77" s="9">
        <f>Compilation!E52</f>
        <v>67.8</v>
      </c>
      <c r="B77" s="9">
        <f t="shared" si="8"/>
        <v>32.199999999999996</v>
      </c>
      <c r="C77" s="9">
        <f t="shared" si="9"/>
        <v>0.5</v>
      </c>
      <c r="D77" s="10" t="str">
        <f>TRIM(Compilation!F52)</f>
        <v>T L</v>
      </c>
      <c r="E77" s="11" t="str">
        <f>Compilation!I52</f>
        <v>Lake Minsi Dr</v>
      </c>
      <c r="F77" s="32"/>
      <c r="G77" s="45">
        <f>Compilation!J52</f>
      </c>
      <c r="H77" s="3">
        <f t="shared" si="10"/>
      </c>
      <c r="I77" s="3">
        <f t="shared" si="11"/>
        <v>2</v>
      </c>
      <c r="J77" s="12">
        <f>IF(ISNUMBER(FIND("Controle",H77)),MATCH(H77,Controle!B:B,0),"")</f>
      </c>
      <c r="K77" s="7">
        <f t="shared" si="12"/>
        <v>35.6</v>
      </c>
      <c r="L77" s="7" t="str">
        <f t="shared" si="13"/>
        <v>Lake Minsi Dr</v>
      </c>
      <c r="M77" s="13"/>
    </row>
    <row r="78" spans="1:13" ht="33">
      <c r="A78" s="9">
        <f>Compilation!E53</f>
        <v>68.3</v>
      </c>
      <c r="B78" s="9">
        <f t="shared" si="8"/>
        <v>32.699999999999996</v>
      </c>
      <c r="C78" s="9">
        <f t="shared" si="9"/>
        <v>0.5</v>
      </c>
      <c r="D78" s="10" t="str">
        <f>TRIM(Compilation!F53)</f>
        <v>1st L</v>
      </c>
      <c r="E78" s="11" t="str">
        <f>Compilation!I53</f>
        <v>E Shore Dr .."East Entrance"
</v>
      </c>
      <c r="F78" s="32"/>
      <c r="G78" s="45">
        <f>Compilation!J53</f>
      </c>
      <c r="H78" s="3">
        <f t="shared" si="10"/>
      </c>
      <c r="I78" s="3">
        <f t="shared" si="11"/>
        <v>2</v>
      </c>
      <c r="J78" s="12">
        <f>IF(ISNUMBER(FIND("Controle",H78)),MATCH(H78,Controle!B:B,0),"")</f>
      </c>
      <c r="K78" s="7">
        <f t="shared" si="12"/>
        <v>35.6</v>
      </c>
      <c r="L78" s="7" t="str">
        <f t="shared" si="13"/>
        <v>E Shore Dr .."East Entrance"
</v>
      </c>
      <c r="M78" s="13"/>
    </row>
    <row r="79" spans="1:13" ht="16.5">
      <c r="A79" s="9">
        <f>Compilation!E54</f>
        <v>69.2</v>
      </c>
      <c r="B79" s="9">
        <f t="shared" si="8"/>
        <v>33.6</v>
      </c>
      <c r="C79" s="9">
        <f t="shared" si="9"/>
        <v>0.9000000000000057</v>
      </c>
      <c r="D79" s="10" t="str">
        <f>TRIM(Compilation!F54)</f>
        <v>R</v>
      </c>
      <c r="E79" s="11" t="str">
        <f>Compilation!I54</f>
        <v>(SS) Totts Gap Rd</v>
      </c>
      <c r="F79" s="32"/>
      <c r="G79" s="45">
        <f>Compilation!J54</f>
      </c>
      <c r="H79" s="3">
        <f t="shared" si="10"/>
      </c>
      <c r="I79" s="3">
        <f t="shared" si="11"/>
        <v>2</v>
      </c>
      <c r="J79" s="12">
        <f>IF(ISNUMBER(FIND("Controle",H79)),MATCH(H79,Controle!B:B,0),"")</f>
      </c>
      <c r="K79" s="7">
        <f t="shared" si="12"/>
        <v>35.6</v>
      </c>
      <c r="L79" s="7" t="str">
        <f t="shared" si="13"/>
        <v>(SS) Totts Gap Rd</v>
      </c>
      <c r="M79" s="13"/>
    </row>
    <row r="80" spans="1:13" ht="16.5">
      <c r="A80" s="9">
        <f>Compilation!E55</f>
        <v>69.6</v>
      </c>
      <c r="B80" s="9">
        <f t="shared" si="8"/>
        <v>33.99999999999999</v>
      </c>
      <c r="C80" s="9">
        <f t="shared" si="9"/>
        <v>0.3999999999999915</v>
      </c>
      <c r="D80" s="10" t="str">
        <f>TRIM(Compilation!F55)</f>
        <v>1st L</v>
      </c>
      <c r="E80" s="11" t="str">
        <f>Compilation!I55</f>
        <v>Ramblewood Dr</v>
      </c>
      <c r="F80" s="32"/>
      <c r="G80" s="45">
        <f>Compilation!J55</f>
      </c>
      <c r="H80" s="3">
        <f t="shared" si="10"/>
      </c>
      <c r="I80" s="3">
        <f t="shared" si="11"/>
        <v>2</v>
      </c>
      <c r="J80" s="12">
        <f>IF(ISNUMBER(FIND("Controle",H80)),MATCH(H80,Controle!B:B,0),"")</f>
      </c>
      <c r="K80" s="7">
        <f t="shared" si="12"/>
        <v>35.6</v>
      </c>
      <c r="L80" s="7" t="str">
        <f t="shared" si="13"/>
        <v>Ramblewood Dr</v>
      </c>
      <c r="M80" s="13"/>
    </row>
    <row r="81" spans="1:13" ht="16.5">
      <c r="A81" s="9">
        <f>Compilation!E56</f>
        <v>70.6</v>
      </c>
      <c r="B81" s="9">
        <f t="shared" si="8"/>
        <v>34.99999999999999</v>
      </c>
      <c r="C81" s="9">
        <f t="shared" si="9"/>
        <v>1</v>
      </c>
      <c r="D81" s="10" t="str">
        <f>TRIM(Compilation!F56)</f>
        <v>T R</v>
      </c>
      <c r="E81" s="11" t="str">
        <f>Compilation!I56</f>
        <v>Million Dollar Hwy</v>
      </c>
      <c r="F81" s="32"/>
      <c r="G81" s="45">
        <f>Compilation!J56</f>
      </c>
      <c r="H81" s="3">
        <f t="shared" si="10"/>
      </c>
      <c r="I81" s="3">
        <f t="shared" si="11"/>
        <v>2</v>
      </c>
      <c r="J81" s="12">
        <f>IF(ISNUMBER(FIND("Controle",H81)),MATCH(H81,Controle!B:B,0),"")</f>
      </c>
      <c r="K81" s="7">
        <f t="shared" si="12"/>
        <v>35.6</v>
      </c>
      <c r="L81" s="7" t="str">
        <f t="shared" si="13"/>
        <v>Million Dollar Hwy</v>
      </c>
      <c r="M81" s="13"/>
    </row>
    <row r="82" spans="1:13" ht="49.5">
      <c r="A82" s="9">
        <f>Compilation!E57</f>
        <v>71.8</v>
      </c>
      <c r="B82" s="9">
        <f t="shared" si="8"/>
        <v>36.199999999999996</v>
      </c>
      <c r="C82" s="9">
        <f t="shared" si="9"/>
        <v>1.2000000000000028</v>
      </c>
      <c r="D82" s="10" t="str">
        <f>TRIM(Compilation!F57)</f>
        <v>B L</v>
      </c>
      <c r="E82" s="11" t="str">
        <f>Compilation!I57</f>
        <v>TRO Million Dollar Hwy b/c Jacoby Creek Rd (RR tracks on right)</v>
      </c>
      <c r="F82" s="32"/>
      <c r="G82" s="45">
        <f>Compilation!J57</f>
      </c>
      <c r="H82" s="3">
        <f t="shared" si="10"/>
      </c>
      <c r="I82" s="3">
        <f t="shared" si="11"/>
        <v>2</v>
      </c>
      <c r="J82" s="12">
        <f>IF(ISNUMBER(FIND("Controle",H82)),MATCH(H82,Controle!B:B,0),"")</f>
      </c>
      <c r="K82" s="7">
        <f t="shared" si="12"/>
        <v>35.6</v>
      </c>
      <c r="L82" s="7" t="str">
        <f t="shared" si="13"/>
        <v>TRO Million Dollar Hwy b/c Jacoby Creek Rd (RR tracks on right)</v>
      </c>
      <c r="M82" s="13"/>
    </row>
    <row r="83" spans="1:13" ht="16.5">
      <c r="A83" s="9">
        <f>Compilation!E58</f>
        <v>72.6</v>
      </c>
      <c r="B83" s="9">
        <f t="shared" si="8"/>
        <v>36.99999999999999</v>
      </c>
      <c r="C83" s="9">
        <f t="shared" si="9"/>
        <v>0.7999999999999972</v>
      </c>
      <c r="D83" s="10" t="str">
        <f>TRIM(Compilation!F58)</f>
        <v>L</v>
      </c>
      <c r="E83" s="11" t="str">
        <f>Compilation!I58</f>
        <v>(SS) Middle Village Rd</v>
      </c>
      <c r="F83" s="32"/>
      <c r="G83" s="45">
        <f>Compilation!J58</f>
      </c>
      <c r="H83" s="3">
        <f t="shared" si="10"/>
      </c>
      <c r="I83" s="3">
        <f t="shared" si="11"/>
        <v>2</v>
      </c>
      <c r="J83" s="12">
        <f>IF(ISNUMBER(FIND("Controle",H83)),MATCH(H83,Controle!B:B,0),"")</f>
      </c>
      <c r="K83" s="7">
        <f t="shared" si="12"/>
        <v>35.6</v>
      </c>
      <c r="L83" s="7" t="str">
        <f t="shared" si="13"/>
        <v>(SS) Middle Village Rd</v>
      </c>
      <c r="M83" s="13"/>
    </row>
    <row r="84" spans="1:13" ht="33">
      <c r="A84" s="9">
        <f>Compilation!E59</f>
        <v>72.6</v>
      </c>
      <c r="B84" s="9">
        <f t="shared" si="8"/>
        <v>36.99999999999999</v>
      </c>
      <c r="C84" s="9">
        <f t="shared" si="9"/>
        <v>0</v>
      </c>
      <c r="D84" s="10" t="str">
        <f>TRIM(Compilation!F59)</f>
        <v>T R</v>
      </c>
      <c r="E84" s="11" t="str">
        <f>Compilation!I59</f>
        <v>(unmarked) Boulder Dr / Creek Rd</v>
      </c>
      <c r="F84" s="32"/>
      <c r="G84" s="45">
        <f>Compilation!J59</f>
      </c>
      <c r="H84" s="3">
        <f t="shared" si="10"/>
      </c>
      <c r="I84" s="3">
        <f t="shared" si="11"/>
        <v>2</v>
      </c>
      <c r="J84" s="12">
        <f>IF(ISNUMBER(FIND("Controle",H84)),MATCH(H84,Controle!B:B,0),"")</f>
      </c>
      <c r="K84" s="7">
        <f t="shared" si="12"/>
        <v>35.6</v>
      </c>
      <c r="L84" s="7" t="str">
        <f t="shared" si="13"/>
        <v>(unmarked) Boulder Dr / Creek Rd</v>
      </c>
      <c r="M84" s="13"/>
    </row>
    <row r="85" spans="1:13" ht="16.5">
      <c r="A85" s="9">
        <f>Compilation!E60</f>
        <v>73</v>
      </c>
      <c r="B85" s="9">
        <f t="shared" si="8"/>
        <v>37.4</v>
      </c>
      <c r="C85" s="9">
        <f t="shared" si="9"/>
        <v>0.4000000000000057</v>
      </c>
      <c r="D85" s="10" t="str">
        <f>TRIM(Compilation!F60)</f>
        <v>T L</v>
      </c>
      <c r="E85" s="11" t="str">
        <f>Compilation!I60</f>
        <v>State St</v>
      </c>
      <c r="F85" s="32"/>
      <c r="G85" s="45">
        <f>Compilation!J60</f>
      </c>
      <c r="H85" s="3">
        <f t="shared" si="10"/>
      </c>
      <c r="I85" s="3">
        <f t="shared" si="11"/>
        <v>2</v>
      </c>
      <c r="J85" s="12">
        <f>IF(ISNUMBER(FIND("Controle",H85)),MATCH(H85,Controle!B:B,0),"")</f>
      </c>
      <c r="K85" s="7">
        <f t="shared" si="12"/>
        <v>35.6</v>
      </c>
      <c r="L85" s="7" t="str">
        <f t="shared" si="13"/>
        <v>State St</v>
      </c>
      <c r="M85" s="13"/>
    </row>
    <row r="86" spans="1:13" ht="16.5">
      <c r="A86" s="9">
        <f>Compilation!E61</f>
        <v>73.4</v>
      </c>
      <c r="B86" s="9">
        <f t="shared" si="8"/>
        <v>37.800000000000004</v>
      </c>
      <c r="C86" s="9">
        <f t="shared" si="9"/>
        <v>0.4000000000000057</v>
      </c>
      <c r="D86" s="10" t="str">
        <f>TRIM(Compilation!F61)</f>
        <v>T L</v>
      </c>
      <c r="E86" s="11" t="str">
        <f>Compilation!I61</f>
        <v>(TFL) Rt 611 [Portland]</v>
      </c>
      <c r="F86" s="32"/>
      <c r="G86" s="45">
        <f>Compilation!J61</f>
      </c>
      <c r="H86" s="3">
        <f t="shared" si="10"/>
      </c>
      <c r="I86" s="3">
        <f t="shared" si="11"/>
        <v>2</v>
      </c>
      <c r="J86" s="12">
        <f>IF(ISNUMBER(FIND("Controle",H86)),MATCH(H86,Controle!B:B,0),"")</f>
      </c>
      <c r="K86" s="7">
        <f t="shared" si="12"/>
        <v>35.6</v>
      </c>
      <c r="L86" s="7" t="str">
        <f t="shared" si="13"/>
        <v>(TFL) Rt 611 [Portland]</v>
      </c>
      <c r="M86" s="13"/>
    </row>
    <row r="87" spans="1:13" ht="66">
      <c r="A87" s="9">
        <f>Compilation!E62</f>
        <v>73.6</v>
      </c>
      <c r="B87" s="9">
        <f t="shared" si="8"/>
        <v>37.99999999999999</v>
      </c>
      <c r="C87" s="9">
        <f t="shared" si="9"/>
        <v>0.19999999999998863</v>
      </c>
      <c r="D87" s="10" t="str">
        <f>TRIM(Compilation!F62)</f>
        <v>Special Stop+X</v>
      </c>
      <c r="E87" s="11" t="str">
        <f>Compilation!I62</f>
        <v>Stop at Penn Jersey Gas Station on right then cross Delaware River pedestrian bridge</v>
      </c>
      <c r="F87" s="32"/>
      <c r="G87" s="45" t="str">
        <f>Compilation!J62</f>
        <v>MiniMart</v>
      </c>
      <c r="H87" s="3">
        <f t="shared" si="10"/>
      </c>
      <c r="I87" s="3">
        <f t="shared" si="11"/>
        <v>2</v>
      </c>
      <c r="J87" s="12">
        <f>IF(ISNUMBER(FIND("Controle",H87)),MATCH(H87,Controle!B:B,0),"")</f>
      </c>
      <c r="K87" s="7">
        <f t="shared" si="12"/>
        <v>35.6</v>
      </c>
      <c r="L87" s="7" t="str">
        <f t="shared" si="13"/>
        <v>Stop at Penn Jersey Gas Station on right then cross Delaware River pedestrian bridge</v>
      </c>
      <c r="M87" s="13"/>
    </row>
    <row r="88" spans="1:13" ht="33">
      <c r="A88" s="9">
        <f>Compilation!E63</f>
        <v>73.8</v>
      </c>
      <c r="B88" s="9">
        <f t="shared" si="8"/>
        <v>38.199999999999996</v>
      </c>
      <c r="C88" s="9">
        <f t="shared" si="9"/>
        <v>0.20000000000000284</v>
      </c>
      <c r="D88" s="10" t="str">
        <f>TRIM(Compilation!F63)</f>
        <v>Straight</v>
      </c>
      <c r="E88" s="11" t="str">
        <f>Compilation!I63</f>
        <v>Joining Green St (at end of pedestrian bridge) </v>
      </c>
      <c r="F88" s="32"/>
      <c r="G88" s="45" t="str">
        <f>Compilation!J63</f>
        <v>Water Gap vista on left</v>
      </c>
      <c r="H88" s="3">
        <f t="shared" si="10"/>
      </c>
      <c r="I88" s="3">
        <f t="shared" si="11"/>
        <v>2</v>
      </c>
      <c r="J88" s="12">
        <f>IF(ISNUMBER(FIND("Controle",H88)),MATCH(H88,Controle!B:B,0),"")</f>
      </c>
      <c r="K88" s="7">
        <f t="shared" si="12"/>
        <v>35.6</v>
      </c>
      <c r="L88" s="7" t="str">
        <f t="shared" si="13"/>
        <v>Joining Green St (at end of pedestrian bridge) </v>
      </c>
      <c r="M88" s="13"/>
    </row>
    <row r="89" spans="1:13" ht="16.5">
      <c r="A89" s="9">
        <f>Compilation!E64</f>
        <v>73.9</v>
      </c>
      <c r="B89" s="9">
        <f t="shared" si="8"/>
        <v>38.300000000000004</v>
      </c>
      <c r="C89" s="9">
        <f t="shared" si="9"/>
        <v>0.10000000000000853</v>
      </c>
      <c r="D89" s="10" t="str">
        <f>TRIM(Compilation!F64)</f>
        <v>L</v>
      </c>
      <c r="E89" s="11" t="str">
        <f>Compilation!I64</f>
        <v>(SS) Decatur St / Rt 676</v>
      </c>
      <c r="F89" s="32"/>
      <c r="G89" s="45">
        <f>Compilation!J64</f>
      </c>
      <c r="H89" s="3">
        <f t="shared" si="10"/>
      </c>
      <c r="I89" s="3">
        <f t="shared" si="11"/>
        <v>2</v>
      </c>
      <c r="J89" s="12">
        <f>IF(ISNUMBER(FIND("Controle",H89)),MATCH(H89,Controle!B:B,0),"")</f>
      </c>
      <c r="K89" s="7">
        <f t="shared" si="12"/>
        <v>35.6</v>
      </c>
      <c r="L89" s="7" t="str">
        <f t="shared" si="13"/>
        <v>(SS) Decatur St / Rt 676</v>
      </c>
      <c r="M89" s="13"/>
    </row>
    <row r="90" spans="1:13" ht="33">
      <c r="A90" s="9">
        <f>Compilation!E65</f>
        <v>74.1</v>
      </c>
      <c r="B90" s="9">
        <f t="shared" si="8"/>
        <v>38.49999999999999</v>
      </c>
      <c r="C90" s="9">
        <f t="shared" si="9"/>
        <v>0.19999999999998863</v>
      </c>
      <c r="D90" s="10" t="str">
        <f>TRIM(Compilation!F65)</f>
        <v>R</v>
      </c>
      <c r="E90" s="11" t="str">
        <f>Compilation!I65</f>
        <v>Rt 80 overpass (follow "All Traffic")</v>
      </c>
      <c r="F90" s="32"/>
      <c r="G90" s="45">
        <f>Compilation!J65</f>
      </c>
      <c r="H90" s="3">
        <f t="shared" si="10"/>
      </c>
      <c r="I90" s="3">
        <f t="shared" si="11"/>
        <v>2</v>
      </c>
      <c r="J90" s="12">
        <f>IF(ISNUMBER(FIND("Controle",H90)),MATCH(H90,Controle!B:B,0),"")</f>
      </c>
      <c r="K90" s="7">
        <f t="shared" si="12"/>
        <v>35.6</v>
      </c>
      <c r="L90" s="7" t="str">
        <f t="shared" si="13"/>
        <v>Rt 80 overpass (follow "All Traffic")</v>
      </c>
      <c r="M90" s="13"/>
    </row>
    <row r="91" spans="1:13" ht="33">
      <c r="A91" s="9">
        <f>Compilation!E66</f>
        <v>74.2</v>
      </c>
      <c r="B91" s="9">
        <f t="shared" si="8"/>
        <v>38.6</v>
      </c>
      <c r="C91" s="9">
        <f t="shared" si="9"/>
        <v>0.10000000000000853</v>
      </c>
      <c r="D91" s="10" t="str">
        <f>TRIM(Compilation!F66)</f>
        <v>Q BR</v>
      </c>
      <c r="E91" s="11" t="str">
        <f>Compilation!I66</f>
        <v>Rt 80 access road (at TA Truck stop)</v>
      </c>
      <c r="F91" s="32"/>
      <c r="G91" s="45" t="str">
        <f>Compilation!J66</f>
        <v>Restaurant</v>
      </c>
      <c r="H91" s="3">
        <f t="shared" si="10"/>
      </c>
      <c r="I91" s="3">
        <f t="shared" si="11"/>
        <v>2</v>
      </c>
      <c r="J91" s="12">
        <f>IF(ISNUMBER(FIND("Controle",H91)),MATCH(H91,Controle!B:B,0),"")</f>
      </c>
      <c r="K91" s="7">
        <f t="shared" si="12"/>
        <v>35.6</v>
      </c>
      <c r="L91" s="7" t="str">
        <f t="shared" si="13"/>
        <v>Rt 80 access road (at TA Truck stop)</v>
      </c>
      <c r="M91" s="13"/>
    </row>
    <row r="92" spans="1:13" ht="33">
      <c r="A92" s="9">
        <f>Compilation!E67</f>
        <v>74.7</v>
      </c>
      <c r="B92" s="9">
        <f t="shared" si="8"/>
        <v>39.1</v>
      </c>
      <c r="C92" s="9">
        <f t="shared" si="9"/>
        <v>0.5</v>
      </c>
      <c r="D92" s="10" t="str">
        <f>TRIM(Compilation!F67)</f>
        <v>X</v>
      </c>
      <c r="E92" s="11" t="str">
        <f>Compilation!I67</f>
        <v>(SS) (unmarked) Rt 94 South.."All Traffic".."No Turns"</v>
      </c>
      <c r="F92" s="32"/>
      <c r="G92" s="45">
        <f>Compilation!J67</f>
      </c>
      <c r="H92" s="3">
        <f t="shared" si="10"/>
      </c>
      <c r="I92" s="3">
        <f t="shared" si="11"/>
        <v>2</v>
      </c>
      <c r="J92" s="12">
        <f>IF(ISNUMBER(FIND("Controle",H92)),MATCH(H92,Controle!B:B,0),"")</f>
      </c>
      <c r="K92" s="7">
        <f t="shared" si="12"/>
        <v>35.6</v>
      </c>
      <c r="L92" s="7" t="str">
        <f t="shared" si="13"/>
        <v>(SS) (unmarked) Rt 94 South.."All Traffic".."No Turns"</v>
      </c>
      <c r="M92" s="13"/>
    </row>
    <row r="93" spans="1:13" ht="49.5">
      <c r="A93" s="9">
        <f>Compilation!E68</f>
        <v>74.7</v>
      </c>
      <c r="B93" s="9">
        <f t="shared" si="8"/>
        <v>39.1</v>
      </c>
      <c r="C93" s="9">
        <f t="shared" si="9"/>
        <v>0</v>
      </c>
      <c r="D93" s="10" t="str">
        <f>TRIM(Compilation!F68)</f>
        <v>Q Merge / Caution</v>
      </c>
      <c r="E93" s="11" t="str">
        <f>Compilation!I68</f>
        <v>Joining Rt 94 North (watch for fast traffic entering on your right)</v>
      </c>
      <c r="F93" s="32"/>
      <c r="G93" s="45">
        <f>Compilation!J68</f>
      </c>
      <c r="H93" s="3">
        <f t="shared" si="10"/>
      </c>
      <c r="I93" s="3">
        <f t="shared" si="11"/>
        <v>2</v>
      </c>
      <c r="J93" s="12">
        <f>IF(ISNUMBER(FIND("Controle",H93)),MATCH(H93,Controle!B:B,0),"")</f>
      </c>
      <c r="K93" s="7">
        <f t="shared" si="12"/>
        <v>35.6</v>
      </c>
      <c r="L93" s="7" t="str">
        <f t="shared" si="13"/>
        <v>Joining Rt 94 North (watch for fast traffic entering on your right)</v>
      </c>
      <c r="M93" s="13"/>
    </row>
    <row r="94" spans="1:13" ht="16.5">
      <c r="A94" s="9">
        <f>Compilation!E69</f>
        <v>75.1</v>
      </c>
      <c r="B94" s="9">
        <f t="shared" si="8"/>
        <v>39.49999999999999</v>
      </c>
      <c r="C94" s="9">
        <f t="shared" si="9"/>
        <v>0.3999999999999915</v>
      </c>
      <c r="D94" s="10" t="str">
        <f>TRIM(Compilation!F69)</f>
        <v>B L</v>
      </c>
      <c r="E94" s="11" t="str">
        <f>Compilation!I69</f>
        <v>TRO Rt 94 North (Jct Rt 605)</v>
      </c>
      <c r="F94" s="32"/>
      <c r="G94" s="45">
        <f>Compilation!J69</f>
      </c>
      <c r="H94" s="3">
        <f t="shared" si="10"/>
      </c>
      <c r="I94" s="3">
        <f t="shared" si="11"/>
        <v>2</v>
      </c>
      <c r="J94" s="12">
        <f>IF(ISNUMBER(FIND("Controle",H94)),MATCH(H94,Controle!B:B,0),"")</f>
      </c>
      <c r="K94" s="7">
        <f t="shared" si="12"/>
        <v>35.6</v>
      </c>
      <c r="L94" s="7" t="str">
        <f t="shared" si="13"/>
        <v>TRO Rt 94 North (Jct Rt 605)</v>
      </c>
      <c r="M94" s="13"/>
    </row>
    <row r="95" spans="1:13" ht="33">
      <c r="A95" s="9">
        <f>Compilation!E70</f>
        <v>76.9</v>
      </c>
      <c r="B95" s="9">
        <f t="shared" si="8"/>
        <v>41.300000000000004</v>
      </c>
      <c r="C95" s="9">
        <f t="shared" si="9"/>
        <v>1.8000000000000114</v>
      </c>
      <c r="D95" s="10" t="str">
        <f>TRIM(Compilation!F70)</f>
        <v>***R</v>
      </c>
      <c r="E95" s="11" t="str">
        <f>Compilation!I70</f>
        <v>Station Rd...look for "One Lane Bridge".. crossing stream</v>
      </c>
      <c r="F95" s="32"/>
      <c r="G95" s="45">
        <f>Compilation!J70</f>
      </c>
      <c r="H95" s="3">
        <f t="shared" si="10"/>
      </c>
      <c r="I95" s="3">
        <f t="shared" si="11"/>
        <v>2</v>
      </c>
      <c r="J95" s="12">
        <f>IF(ISNUMBER(FIND("Controle",H95)),MATCH(H95,Controle!B:B,0),"")</f>
      </c>
      <c r="K95" s="7">
        <f t="shared" si="12"/>
        <v>35.6</v>
      </c>
      <c r="L95" s="7" t="str">
        <f t="shared" si="13"/>
        <v>Station Rd...look for "One Lane Bridge".. crossing stream</v>
      </c>
      <c r="M95" s="13"/>
    </row>
    <row r="96" spans="1:13" ht="28.5">
      <c r="A96" s="9">
        <f>Compilation!E71</f>
        <v>77.2</v>
      </c>
      <c r="B96" s="9">
        <f t="shared" si="8"/>
        <v>41.6</v>
      </c>
      <c r="C96" s="9">
        <f t="shared" si="9"/>
        <v>0.29999999999999716</v>
      </c>
      <c r="D96" s="10" t="str">
        <f>TRIM(Compilation!F71)</f>
        <v>X</v>
      </c>
      <c r="E96" s="11" t="str">
        <f>Compilation!I71</f>
        <v>Viaduct </v>
      </c>
      <c r="F96" s="32"/>
      <c r="G96" s="45" t="str">
        <f>Compilation!J71</f>
        <v>Lackawanna Cutoff vista</v>
      </c>
      <c r="H96" s="3">
        <f t="shared" si="10"/>
      </c>
      <c r="I96" s="3">
        <f t="shared" si="11"/>
        <v>2</v>
      </c>
      <c r="J96" s="12">
        <f>IF(ISNUMBER(FIND("Controle",H96)),MATCH(H96,Controle!B:B,0),"")</f>
      </c>
      <c r="K96" s="7">
        <f t="shared" si="12"/>
        <v>35.6</v>
      </c>
      <c r="L96" s="7" t="str">
        <f t="shared" si="13"/>
        <v>Viaduct </v>
      </c>
      <c r="M96" s="13"/>
    </row>
    <row r="97" spans="1:13" ht="33">
      <c r="A97" s="9">
        <f>Compilation!E72</f>
        <v>78.5</v>
      </c>
      <c r="B97" s="9">
        <f t="shared" si="8"/>
        <v>42.9</v>
      </c>
      <c r="C97" s="9">
        <f t="shared" si="9"/>
        <v>1.2999999999999972</v>
      </c>
      <c r="D97" s="10" t="str">
        <f>TRIM(Compilation!F72)</f>
        <v>Straight</v>
      </c>
      <c r="E97" s="11" t="str">
        <f>Compilation!I72</f>
        <v>(SS) Merging with Polkville Rd (Crisman Rd on left)</v>
      </c>
      <c r="F97" s="32"/>
      <c r="G97" s="45">
        <f>Compilation!J72</f>
      </c>
      <c r="H97" s="3">
        <f t="shared" si="10"/>
      </c>
      <c r="I97" s="3">
        <f t="shared" si="11"/>
        <v>2</v>
      </c>
      <c r="J97" s="12">
        <f>IF(ISNUMBER(FIND("Controle",H97)),MATCH(H97,Controle!B:B,0),"")</f>
      </c>
      <c r="K97" s="7">
        <f t="shared" si="12"/>
        <v>35.6</v>
      </c>
      <c r="L97" s="7" t="str">
        <f t="shared" si="13"/>
        <v>(SS) Merging with Polkville Rd (Crisman Rd on left)</v>
      </c>
      <c r="M97" s="13"/>
    </row>
    <row r="98" spans="1:13" ht="33">
      <c r="A98" s="9">
        <f>Compilation!E73</f>
        <v>79.6</v>
      </c>
      <c r="B98" s="9">
        <f t="shared" si="8"/>
        <v>43.99999999999999</v>
      </c>
      <c r="C98" s="9">
        <f t="shared" si="9"/>
        <v>1.0999999999999943</v>
      </c>
      <c r="D98" s="10" t="str">
        <f>TRIM(Compilation!F73)</f>
        <v>TL + QR</v>
      </c>
      <c r="E98" s="11" t="str">
        <f>Compilation!I73</f>
        <v>Sandhill Rd (Crossing Mt Hermon Rd)</v>
      </c>
      <c r="F98" s="32"/>
      <c r="G98" s="45">
        <f>Compilation!J73</f>
      </c>
      <c r="H98" s="3">
        <f t="shared" si="10"/>
      </c>
      <c r="I98" s="3">
        <f t="shared" si="11"/>
        <v>2</v>
      </c>
      <c r="J98" s="12">
        <f>IF(ISNUMBER(FIND("Controle",H98)),MATCH(H98,Controle!B:B,0),"")</f>
      </c>
      <c r="K98" s="7">
        <f t="shared" si="12"/>
        <v>35.6</v>
      </c>
      <c r="L98" s="7" t="str">
        <f t="shared" si="13"/>
        <v>Sandhill Rd (Crossing Mt Hermon Rd)</v>
      </c>
      <c r="M98" s="13"/>
    </row>
    <row r="99" spans="1:13" ht="33">
      <c r="A99" s="9">
        <f>Compilation!E74</f>
        <v>80.8</v>
      </c>
      <c r="B99" s="9">
        <f t="shared" si="8"/>
        <v>45.199999999999996</v>
      </c>
      <c r="C99" s="9">
        <f t="shared" si="9"/>
        <v>1.2000000000000028</v>
      </c>
      <c r="D99" s="10" t="str">
        <f>TRIM(Compilation!F74)</f>
        <v>T L</v>
      </c>
      <c r="E99" s="11" t="str">
        <f>Compilation!I74</f>
        <v>(unmarked) Cedar Lake Rd / Rt 616</v>
      </c>
      <c r="F99" s="32"/>
      <c r="G99" s="45">
        <f>Compilation!J74</f>
      </c>
      <c r="H99" s="3">
        <f t="shared" si="10"/>
      </c>
      <c r="I99" s="3">
        <f t="shared" si="11"/>
        <v>2</v>
      </c>
      <c r="J99" s="12">
        <f>IF(ISNUMBER(FIND("Controle",H99)),MATCH(H99,Controle!B:B,0),"")</f>
      </c>
      <c r="K99" s="7">
        <f t="shared" si="12"/>
        <v>35.6</v>
      </c>
      <c r="L99" s="7" t="str">
        <f t="shared" si="13"/>
        <v>(unmarked) Cedar Lake Rd / Rt 616</v>
      </c>
      <c r="M99" s="13"/>
    </row>
    <row r="100" spans="1:13" ht="33">
      <c r="A100" s="9">
        <f>Compilation!E75</f>
        <v>83.3</v>
      </c>
      <c r="B100" s="9">
        <f t="shared" si="8"/>
        <v>47.699999999999996</v>
      </c>
      <c r="C100" s="9">
        <f t="shared" si="9"/>
        <v>2.5</v>
      </c>
      <c r="D100" s="10" t="str">
        <f>TRIM(Compilation!F75)</f>
        <v>T L</v>
      </c>
      <c r="E100" s="11" t="str">
        <f>Compilation!I75</f>
        <v>Rt 94 (unmarked) (follow Columbia sign)</v>
      </c>
      <c r="F100" s="32"/>
      <c r="G100" s="45">
        <f>Compilation!J75</f>
      </c>
      <c r="H100" s="3">
        <f t="shared" si="10"/>
      </c>
      <c r="I100" s="3">
        <f t="shared" si="11"/>
        <v>2</v>
      </c>
      <c r="J100" s="12">
        <f>IF(ISNUMBER(FIND("Controle",H100)),MATCH(H100,Controle!B:B,0),"")</f>
      </c>
      <c r="K100" s="7">
        <f t="shared" si="12"/>
        <v>35.6</v>
      </c>
      <c r="L100" s="7" t="str">
        <f t="shared" si="13"/>
        <v>Rt 94 (unmarked) (follow Columbia sign)</v>
      </c>
      <c r="M100" s="13"/>
    </row>
    <row r="101" spans="1:13" ht="16.5">
      <c r="A101" s="9">
        <f>Compilation!E76</f>
        <v>83.6</v>
      </c>
      <c r="B101" s="9">
        <f t="shared" si="8"/>
        <v>47.99999999999999</v>
      </c>
      <c r="C101" s="9">
        <f t="shared" si="9"/>
        <v>0.29999999999999716</v>
      </c>
      <c r="D101" s="10" t="str">
        <f>TRIM(Compilation!F76)</f>
        <v>R</v>
      </c>
      <c r="E101" s="11" t="str">
        <f>Compilation!I76</f>
        <v>Carhart St [Blairstown]</v>
      </c>
      <c r="F101" s="32"/>
      <c r="G101" s="45">
        <f>Compilation!J76</f>
      </c>
      <c r="H101" s="3">
        <f t="shared" si="10"/>
      </c>
      <c r="I101" s="3">
        <f t="shared" si="11"/>
        <v>2</v>
      </c>
      <c r="J101" s="12">
        <f>IF(ISNUMBER(FIND("Controle",H101)),MATCH(H101,Controle!B:B,0),"")</f>
      </c>
      <c r="K101" s="7">
        <f t="shared" si="12"/>
        <v>35.6</v>
      </c>
      <c r="L101" s="7" t="str">
        <f t="shared" si="13"/>
        <v>Carhart St [Blairstown]</v>
      </c>
      <c r="M101" s="13"/>
    </row>
    <row r="102" spans="1:13" ht="16.5">
      <c r="A102" s="9">
        <f>Compilation!E77</f>
        <v>83.7</v>
      </c>
      <c r="B102" s="9">
        <f t="shared" si="8"/>
        <v>48.1</v>
      </c>
      <c r="C102" s="9">
        <f t="shared" si="9"/>
        <v>0.10000000000000853</v>
      </c>
      <c r="D102" s="10" t="str">
        <f>TRIM(Compilation!F77)</f>
        <v>T L</v>
      </c>
      <c r="E102" s="11" t="str">
        <f>Compilation!I77</f>
        <v>Main St (unmarked)</v>
      </c>
      <c r="F102" s="32"/>
      <c r="G102" s="45">
        <f>Compilation!J77</f>
      </c>
      <c r="H102" s="3">
        <f t="shared" si="10"/>
      </c>
      <c r="I102" s="3">
        <f t="shared" si="11"/>
        <v>2</v>
      </c>
      <c r="J102" s="12">
        <f>IF(ISNUMBER(FIND("Controle",H102)),MATCH(H102,Controle!B:B,0),"")</f>
      </c>
      <c r="K102" s="7">
        <f t="shared" si="12"/>
        <v>35.6</v>
      </c>
      <c r="L102" s="7" t="str">
        <f t="shared" si="13"/>
        <v>Main St (unmarked)</v>
      </c>
      <c r="M102" s="13"/>
    </row>
    <row r="103" spans="1:13" ht="17.25" thickBot="1">
      <c r="A103" s="9">
        <f>Compilation!E78</f>
        <v>83.8</v>
      </c>
      <c r="B103" s="9">
        <f t="shared" si="8"/>
        <v>48.199999999999996</v>
      </c>
      <c r="C103" s="9">
        <f t="shared" si="9"/>
        <v>0.09999999999999432</v>
      </c>
      <c r="D103" s="10" t="str">
        <f>TRIM(Compilation!F78)</f>
        <v>STOP</v>
      </c>
      <c r="E103" s="11" t="str">
        <f>Compilation!I78</f>
        <v>Controle Gourmet Gallery on left </v>
      </c>
      <c r="F103" s="32"/>
      <c r="G103" s="45" t="str">
        <f>Compilation!J78</f>
        <v>Deli</v>
      </c>
      <c r="H103" s="3" t="str">
        <f t="shared" si="10"/>
        <v>Controle 3</v>
      </c>
      <c r="I103" s="3">
        <f t="shared" si="11"/>
        <v>3</v>
      </c>
      <c r="J103" s="12">
        <f>IF(ISNUMBER(FIND("Controle",H103)),MATCH(H103,Controle!B:B,0),"")</f>
        <v>9</v>
      </c>
      <c r="K103" s="7">
        <f t="shared" si="12"/>
        <v>35.6</v>
      </c>
      <c r="L103" s="7" t="str">
        <f t="shared" si="13"/>
        <v>Controle Gourmet Gallery on left </v>
      </c>
      <c r="M103" s="13"/>
    </row>
    <row r="104" spans="1:12" ht="16.5">
      <c r="A104" s="53" t="str">
        <f>INDEX(Controle!H:H,Cue!J103)&amp;" "</f>
        <v>Controle 3 Gourmet Gallery (908) 362-0051 </v>
      </c>
      <c r="B104" s="54"/>
      <c r="C104" s="54"/>
      <c r="D104" s="54"/>
      <c r="E104" s="55"/>
      <c r="F104" s="30"/>
      <c r="G104" s="43"/>
      <c r="H104" s="3">
        <f>IF(ISNUMBER(FIND("Controle",E104)),LEFT(E104,FIND(" ",E104,10)-1),"")</f>
      </c>
      <c r="I104" s="3">
        <f>IF(LEFT(E104,8)="Controle",I103+1,I103)</f>
        <v>3</v>
      </c>
      <c r="J104" s="12">
        <f>IF(ISNUMBER(FIND("Controle",H104)),MATCH(H104,Controle!B:B,0),"")</f>
      </c>
      <c r="K104" s="7">
        <f>IF(B103="Leg",A104,K103)</f>
        <v>35.6</v>
      </c>
      <c r="L104" s="7">
        <f t="shared" si="13"/>
        <v>0</v>
      </c>
    </row>
    <row r="105" spans="1:12" ht="16.5">
      <c r="A105" s="50" t="str">
        <f>INDEX(Controle!H:H,Cue!J103+1)&amp;" "</f>
        <v>31 Main St, Blairstown, NJ </v>
      </c>
      <c r="B105" s="51"/>
      <c r="C105" s="51"/>
      <c r="D105" s="51"/>
      <c r="E105" s="52"/>
      <c r="F105" s="30"/>
      <c r="G105" s="43"/>
      <c r="H105" s="3">
        <f>IF(ISNUMBER(FIND("Controle",E105)),LEFT(E105,FIND(" ",E105,10)-1),"")</f>
      </c>
      <c r="I105" s="3">
        <f>IF(LEFT(E105,8)="Controle",I104+1,I104)</f>
        <v>3</v>
      </c>
      <c r="J105" s="12">
        <f>IF(ISNUMBER(FIND("Controle",H105)),MATCH(H105,Controle!B:B,0),"")</f>
      </c>
      <c r="K105" s="7">
        <f>IF(B104="Leg",A105,K104)</f>
        <v>35.6</v>
      </c>
      <c r="L105" s="7">
        <f t="shared" si="13"/>
        <v>0</v>
      </c>
    </row>
    <row r="106" spans="1:13" ht="17.25" thickBot="1">
      <c r="A106" s="47" t="str">
        <f>INDEX(Controle!H:H,Cue!J103+2)&amp;" "</f>
        <v>open: 08/08 07:58  close: 08/08 13:00 </v>
      </c>
      <c r="B106" s="48"/>
      <c r="C106" s="48"/>
      <c r="D106" s="48"/>
      <c r="E106" s="49"/>
      <c r="F106" s="31"/>
      <c r="G106" s="44"/>
      <c r="H106" s="3">
        <f>IF(ISNUMBER(FIND("Controle",E106)),LEFT(E106,FIND(" ",E106,10)-1),"")</f>
      </c>
      <c r="I106" s="3">
        <f>IF(LEFT(E106,8)="Controle",I105+1,I105)</f>
        <v>3</v>
      </c>
      <c r="J106" s="12">
        <f>IF(ISNUMBER(FIND("Controle",H106)),MATCH(H106,Controle!B:B,0),"")</f>
      </c>
      <c r="K106" s="7">
        <f>IF(B105="Leg",A106,K105)</f>
        <v>35.6</v>
      </c>
      <c r="L106" s="7">
        <f t="shared" si="13"/>
        <v>0</v>
      </c>
      <c r="M106" s="8"/>
    </row>
    <row r="107" spans="1:13" ht="33">
      <c r="A107" s="9">
        <f>Compilation!E79</f>
        <v>83.8</v>
      </c>
      <c r="B107" s="9">
        <f t="shared" si="8"/>
        <v>0</v>
      </c>
      <c r="C107" s="9">
        <f>A107-A103</f>
        <v>0</v>
      </c>
      <c r="D107" s="10" t="str">
        <f>TRIM(Compilation!F79)</f>
        <v>Backtrack</v>
      </c>
      <c r="E107" s="11" t="str">
        <f>Compilation!I79</f>
        <v>Leave controle turning right on Main St</v>
      </c>
      <c r="F107" s="32"/>
      <c r="G107" s="45" t="str">
        <f>Compilation!J79</f>
        <v>Limited services ahead</v>
      </c>
      <c r="H107" s="3">
        <f t="shared" si="10"/>
      </c>
      <c r="I107" s="3">
        <f>IF(LEFT(E107,8)="Controle",I103+1,I103)</f>
        <v>3</v>
      </c>
      <c r="J107" s="12">
        <f>IF(ISNUMBER(FIND("Controle",H107)),MATCH(H107,Controle!B:B,0),"")</f>
      </c>
      <c r="K107" s="7">
        <f>IF(H103&lt;&gt;"",A107,K103)</f>
        <v>83.8</v>
      </c>
      <c r="L107" s="7" t="str">
        <f t="shared" si="13"/>
        <v>Leave controle turning right on Main St</v>
      </c>
      <c r="M107" s="13"/>
    </row>
    <row r="108" spans="1:13" ht="16.5">
      <c r="A108" s="9">
        <f>Compilation!E80</f>
        <v>83.9</v>
      </c>
      <c r="B108" s="9">
        <f t="shared" si="8"/>
        <v>0.10000000000000853</v>
      </c>
      <c r="C108" s="9">
        <f t="shared" si="9"/>
        <v>0.10000000000000853</v>
      </c>
      <c r="D108" s="10" t="str">
        <f>TRIM(Compilation!F80)</f>
        <v>1st B L</v>
      </c>
      <c r="E108" s="11" t="str">
        <f>Compilation!I80</f>
        <v>Blair Pl (uphill at Remax)</v>
      </c>
      <c r="F108" s="32"/>
      <c r="G108" s="45">
        <f>Compilation!J80</f>
      </c>
      <c r="H108" s="3">
        <f t="shared" si="10"/>
      </c>
      <c r="I108" s="3">
        <f t="shared" si="11"/>
        <v>3</v>
      </c>
      <c r="J108" s="12">
        <f>IF(ISNUMBER(FIND("Controle",H108)),MATCH(H108,Controle!B:B,0),"")</f>
      </c>
      <c r="K108" s="7">
        <f t="shared" si="12"/>
        <v>83.8</v>
      </c>
      <c r="L108" s="7" t="str">
        <f t="shared" si="13"/>
        <v>Blair Pl (uphill at Remax)</v>
      </c>
      <c r="M108" s="13"/>
    </row>
    <row r="109" spans="1:13" ht="33">
      <c r="A109" s="9">
        <f>Compilation!E81</f>
        <v>84</v>
      </c>
      <c r="B109" s="9">
        <f t="shared" si="8"/>
        <v>0.20000000000000284</v>
      </c>
      <c r="C109" s="9">
        <f t="shared" si="9"/>
        <v>0.09999999999999432</v>
      </c>
      <c r="D109" s="10" t="str">
        <f>TRIM(Compilation!F81)</f>
        <v>1st L</v>
      </c>
      <c r="E109" s="11" t="str">
        <f>Compilation!I81</f>
        <v>Millbrook Rd (follow National Recreation sign)</v>
      </c>
      <c r="F109" s="32"/>
      <c r="G109" s="45">
        <f>Compilation!J81</f>
      </c>
      <c r="H109" s="3">
        <f t="shared" si="10"/>
      </c>
      <c r="I109" s="3">
        <f t="shared" si="11"/>
        <v>3</v>
      </c>
      <c r="J109" s="12">
        <f>IF(ISNUMBER(FIND("Controle",H109)),MATCH(H109,Controle!B:B,0),"")</f>
      </c>
      <c r="K109" s="7">
        <f t="shared" si="12"/>
        <v>83.8</v>
      </c>
      <c r="L109" s="7" t="str">
        <f t="shared" si="13"/>
        <v>Millbrook Rd (follow National Recreation sign)</v>
      </c>
      <c r="M109" s="13"/>
    </row>
    <row r="110" spans="1:13" ht="49.5">
      <c r="A110" s="9">
        <f>Compilation!E82</f>
        <v>85.9</v>
      </c>
      <c r="B110" s="9">
        <f t="shared" si="8"/>
        <v>2.1000000000000085</v>
      </c>
      <c r="C110" s="9">
        <f t="shared" si="9"/>
        <v>1.9000000000000057</v>
      </c>
      <c r="D110" s="10" t="str">
        <f>TRIM(Compilation!F82)</f>
        <v>Pass</v>
      </c>
      <c r="E110" s="11" t="str">
        <f>Compilation!I82</f>
        <v>Spring Valley Rd TRO Millbrook Rd / Rt 602 (towards yonder hills)</v>
      </c>
      <c r="F110" s="32"/>
      <c r="G110" s="45">
        <f>Compilation!J82</f>
      </c>
      <c r="H110" s="3">
        <f t="shared" si="10"/>
      </c>
      <c r="I110" s="3">
        <f t="shared" si="11"/>
        <v>3</v>
      </c>
      <c r="J110" s="12">
        <f>IF(ISNUMBER(FIND("Controle",H110)),MATCH(H110,Controle!B:B,0),"")</f>
      </c>
      <c r="K110" s="7">
        <f t="shared" si="12"/>
        <v>83.8</v>
      </c>
      <c r="L110" s="7" t="str">
        <f t="shared" si="13"/>
        <v>Spring Valley Rd TRO Millbrook Rd / Rt 602 (towards yonder hills)</v>
      </c>
      <c r="M110" s="13"/>
    </row>
    <row r="111" spans="1:13" ht="49.5">
      <c r="A111" s="9">
        <f>Compilation!E83</f>
        <v>90.1</v>
      </c>
      <c r="B111" s="9">
        <f t="shared" si="8"/>
        <v>6.299999999999997</v>
      </c>
      <c r="C111" s="9">
        <f t="shared" si="9"/>
        <v>4.199999999999989</v>
      </c>
      <c r="D111" s="10" t="str">
        <f>TRIM(Compilation!F83)</f>
        <v>X</v>
      </c>
      <c r="E111" s="11" t="str">
        <f>Compilation!I83</f>
        <v>Top of Millbrook climb (CAUTION on steep twisty descent)</v>
      </c>
      <c r="F111" s="32"/>
      <c r="G111" s="45">
        <f>Compilation!J83</f>
      </c>
      <c r="H111" s="3">
        <f t="shared" si="10"/>
      </c>
      <c r="I111" s="3">
        <f t="shared" si="11"/>
        <v>3</v>
      </c>
      <c r="J111" s="12">
        <f>IF(ISNUMBER(FIND("Controle",H111)),MATCH(H111,Controle!B:B,0),"")</f>
      </c>
      <c r="K111" s="7">
        <f t="shared" si="12"/>
        <v>83.8</v>
      </c>
      <c r="L111" s="7" t="str">
        <f t="shared" si="13"/>
        <v>Top of Millbrook climb (CAUTION on steep twisty descent)</v>
      </c>
      <c r="M111" s="13"/>
    </row>
    <row r="112" spans="1:13" ht="49.5">
      <c r="A112" s="9">
        <f>Compilation!E84</f>
        <v>91.2</v>
      </c>
      <c r="B112" s="9">
        <f t="shared" si="8"/>
        <v>7.400000000000006</v>
      </c>
      <c r="C112" s="9">
        <f t="shared" si="9"/>
        <v>1.1000000000000085</v>
      </c>
      <c r="D112" s="10" t="str">
        <f>TRIM(Compilation!F84)</f>
        <v>1st R</v>
      </c>
      <c r="E112" s="11" t="str">
        <f>Compilation!I84</f>
        <v>(unmarked) Old Mine Rd  [Millbrook Village] follow Walpack</v>
      </c>
      <c r="F112" s="32"/>
      <c r="G112" s="45">
        <f>Compilation!J84</f>
      </c>
      <c r="H112" s="3">
        <f t="shared" si="10"/>
      </c>
      <c r="I112" s="3">
        <f t="shared" si="11"/>
        <v>3</v>
      </c>
      <c r="J112" s="12">
        <f>IF(ISNUMBER(FIND("Controle",H112)),MATCH(H112,Controle!B:B,0),"")</f>
      </c>
      <c r="K112" s="7">
        <f t="shared" si="12"/>
        <v>83.8</v>
      </c>
      <c r="L112" s="7" t="str">
        <f t="shared" si="13"/>
        <v>(unmarked) Old Mine Rd  [Millbrook Village] follow Walpack</v>
      </c>
      <c r="M112" s="13"/>
    </row>
    <row r="113" spans="1:13" ht="49.5">
      <c r="A113" s="9">
        <f>Compilation!E85</f>
        <v>92.5</v>
      </c>
      <c r="B113" s="9">
        <f t="shared" si="8"/>
        <v>8.700000000000003</v>
      </c>
      <c r="C113" s="9">
        <f t="shared" si="9"/>
        <v>1.2999999999999972</v>
      </c>
      <c r="D113" s="10" t="str">
        <f>TRIM(Compilation!F85)</f>
        <v>EXTREME CAUTION</v>
      </c>
      <c r="E113" s="11" t="str">
        <f>Compilation!I85</f>
        <v>ROUGH DESCENT -- watch for LARGE potholes on STEEP descent</v>
      </c>
      <c r="F113" s="32"/>
      <c r="G113" s="45">
        <f>Compilation!J85</f>
      </c>
      <c r="H113" s="3">
        <f t="shared" si="10"/>
      </c>
      <c r="I113" s="3">
        <f t="shared" si="11"/>
        <v>3</v>
      </c>
      <c r="J113" s="12">
        <f>IF(ISNUMBER(FIND("Controle",H113)),MATCH(H113,Controle!B:B,0),"")</f>
      </c>
      <c r="K113" s="7">
        <f t="shared" si="12"/>
        <v>83.8</v>
      </c>
      <c r="L113" s="7" t="str">
        <f t="shared" si="13"/>
        <v>ROUGH DESCENT -- watch for LARGE potholes on STEEP descent</v>
      </c>
      <c r="M113" s="13"/>
    </row>
    <row r="114" spans="1:13" ht="66">
      <c r="A114" s="9">
        <f>Compilation!E86</f>
        <v>93.4</v>
      </c>
      <c r="B114" s="9">
        <f t="shared" si="8"/>
        <v>9.600000000000009</v>
      </c>
      <c r="C114" s="9">
        <f t="shared" si="9"/>
        <v>0.9000000000000057</v>
      </c>
      <c r="D114" s="10" t="str">
        <f>TRIM(Compilation!F86)</f>
        <v>T R</v>
      </c>
      <c r="E114" s="11" t="str">
        <f>Compilation!I86</f>
        <v>(unmarked) NPS 615 (follow Walpack) Caution: abrupt stop at bottom of Rough steep descent</v>
      </c>
      <c r="F114" s="32"/>
      <c r="G114" s="45">
        <f>Compilation!J86</f>
      </c>
      <c r="H114" s="3">
        <f t="shared" si="10"/>
      </c>
      <c r="I114" s="3">
        <f t="shared" si="11"/>
        <v>3</v>
      </c>
      <c r="J114" s="12">
        <f>IF(ISNUMBER(FIND("Controle",H114)),MATCH(H114,Controle!B:B,0),"")</f>
      </c>
      <c r="K114" s="7">
        <f t="shared" si="12"/>
        <v>83.8</v>
      </c>
      <c r="L114" s="7" t="str">
        <f t="shared" si="13"/>
        <v>(unmarked) NPS 615 (follow Walpack) Caution: abrupt stop at bottom of Rough steep descent</v>
      </c>
      <c r="M114" s="13"/>
    </row>
    <row r="115" spans="1:13" ht="33">
      <c r="A115" s="9">
        <f>Compilation!E87</f>
        <v>103.1</v>
      </c>
      <c r="B115" s="9">
        <f t="shared" si="8"/>
        <v>19.299999999999997</v>
      </c>
      <c r="C115" s="9">
        <f t="shared" si="9"/>
        <v>9.699999999999989</v>
      </c>
      <c r="D115" s="10" t="str">
        <f>TRIM(Compilation!F87)</f>
        <v>B R</v>
      </c>
      <c r="E115" s="11" t="str">
        <f>Compilation!I87</f>
        <v>Rt 615 [Peters Valley] (towards red trim house)</v>
      </c>
      <c r="F115" s="32"/>
      <c r="G115" s="45">
        <f>Compilation!J87</f>
      </c>
      <c r="H115" s="3">
        <f t="shared" si="10"/>
      </c>
      <c r="I115" s="3">
        <f t="shared" si="11"/>
        <v>3</v>
      </c>
      <c r="J115" s="12">
        <f>IF(ISNUMBER(FIND("Controle",H115)),MATCH(H115,Controle!B:B,0),"")</f>
      </c>
      <c r="K115" s="7">
        <f t="shared" si="12"/>
        <v>83.8</v>
      </c>
      <c r="L115" s="7" t="str">
        <f t="shared" si="13"/>
        <v>Rt 615 [Peters Valley] (towards red trim house)</v>
      </c>
      <c r="M115" s="13"/>
    </row>
    <row r="116" spans="1:13" ht="16.5">
      <c r="A116" s="9">
        <f>Compilation!E88</f>
        <v>103.8</v>
      </c>
      <c r="B116" s="9">
        <f t="shared" si="8"/>
        <v>20</v>
      </c>
      <c r="C116" s="9">
        <f t="shared" si="9"/>
        <v>0.7000000000000028</v>
      </c>
      <c r="D116" s="10" t="str">
        <f>TRIM(Compilation!F88)</f>
        <v>B L</v>
      </c>
      <c r="E116" s="11" t="str">
        <f>Compilation!I88</f>
        <v>Rt 640</v>
      </c>
      <c r="F116" s="32"/>
      <c r="G116" s="45">
        <f>Compilation!J88</f>
      </c>
      <c r="H116" s="3">
        <f t="shared" si="10"/>
      </c>
      <c r="I116" s="3">
        <f t="shared" si="11"/>
        <v>3</v>
      </c>
      <c r="J116" s="12">
        <f>IF(ISNUMBER(FIND("Controle",H116)),MATCH(H116,Controle!B:B,0),"")</f>
      </c>
      <c r="K116" s="7">
        <f t="shared" si="12"/>
        <v>83.8</v>
      </c>
      <c r="L116" s="7" t="str">
        <f t="shared" si="13"/>
        <v>Rt 640</v>
      </c>
      <c r="M116" s="13"/>
    </row>
    <row r="117" spans="1:13" ht="33">
      <c r="A117" s="9">
        <f>Compilation!E89</f>
        <v>105.1</v>
      </c>
      <c r="B117" s="9">
        <f t="shared" si="8"/>
        <v>21.299999999999997</v>
      </c>
      <c r="C117" s="9">
        <f t="shared" si="9"/>
        <v>1.2999999999999972</v>
      </c>
      <c r="D117" s="10" t="str">
        <f>TRIM(Compilation!F89)</f>
        <v>Straight</v>
      </c>
      <c r="E117" s="11" t="str">
        <f>Compilation!I89</f>
        <v>(TFL) joining Rt 560 East [Layton] </v>
      </c>
      <c r="F117" s="32"/>
      <c r="G117" s="45" t="str">
        <f>Compilation!J89</f>
        <v>Restaurant</v>
      </c>
      <c r="H117" s="3">
        <f t="shared" si="10"/>
      </c>
      <c r="I117" s="3">
        <f t="shared" si="11"/>
        <v>3</v>
      </c>
      <c r="J117" s="12">
        <f>IF(ISNUMBER(FIND("Controle",H117)),MATCH(H117,Controle!B:B,0),"")</f>
      </c>
      <c r="K117" s="7">
        <f t="shared" si="12"/>
        <v>83.8</v>
      </c>
      <c r="L117" s="7" t="str">
        <f t="shared" si="13"/>
        <v>(TFL) joining Rt 560 East [Layton] </v>
      </c>
      <c r="M117" s="13"/>
    </row>
    <row r="118" spans="1:13" ht="16.5">
      <c r="A118" s="9">
        <f>Compilation!E90</f>
        <v>105.4</v>
      </c>
      <c r="B118" s="9">
        <f t="shared" si="8"/>
        <v>21.60000000000001</v>
      </c>
      <c r="C118" s="9">
        <f t="shared" si="9"/>
        <v>0.30000000000001137</v>
      </c>
      <c r="D118" s="10" t="str">
        <f>TRIM(Compilation!F90)</f>
        <v>L</v>
      </c>
      <c r="E118" s="11" t="str">
        <f>Compilation!I90</f>
        <v>Rt 645 / Layton Hainesville Rd</v>
      </c>
      <c r="F118" s="32"/>
      <c r="G118" s="45">
        <f>Compilation!J90</f>
      </c>
      <c r="H118" s="3">
        <f t="shared" si="10"/>
      </c>
      <c r="I118" s="3">
        <f t="shared" si="11"/>
        <v>3</v>
      </c>
      <c r="J118" s="12">
        <f>IF(ISNUMBER(FIND("Controle",H118)),MATCH(H118,Controle!B:B,0),"")</f>
      </c>
      <c r="K118" s="7">
        <f t="shared" si="12"/>
        <v>83.8</v>
      </c>
      <c r="L118" s="7" t="str">
        <f t="shared" si="13"/>
        <v>Rt 645 / Layton Hainesville Rd</v>
      </c>
      <c r="M118" s="13"/>
    </row>
    <row r="119" spans="1:13" ht="16.5">
      <c r="A119" s="9">
        <f>Compilation!E91</f>
        <v>107.6</v>
      </c>
      <c r="B119" s="9">
        <f t="shared" si="8"/>
        <v>23.799999999999997</v>
      </c>
      <c r="C119" s="9">
        <f t="shared" si="9"/>
        <v>2.1999999999999886</v>
      </c>
      <c r="D119" s="10" t="str">
        <f>TRIM(Compilation!F91)</f>
        <v>Pass</v>
      </c>
      <c r="E119" s="11" t="str">
        <f>Compilation!I91</f>
        <v>Rt 675 / Fire Station</v>
      </c>
      <c r="F119" s="32"/>
      <c r="G119" s="45">
        <f>Compilation!J91</f>
      </c>
      <c r="H119" s="3">
        <f t="shared" si="10"/>
      </c>
      <c r="I119" s="3">
        <f t="shared" si="11"/>
        <v>3</v>
      </c>
      <c r="J119" s="12">
        <f>IF(ISNUMBER(FIND("Controle",H119)),MATCH(H119,Controle!B:B,0),"")</f>
      </c>
      <c r="K119" s="7">
        <f t="shared" si="12"/>
        <v>83.8</v>
      </c>
      <c r="L119" s="7" t="str">
        <f t="shared" si="13"/>
        <v>Rt 675 / Fire Station</v>
      </c>
      <c r="M119" s="13"/>
    </row>
    <row r="120" spans="1:13" ht="16.5">
      <c r="A120" s="9">
        <f>Compilation!E92</f>
        <v>108.4</v>
      </c>
      <c r="B120" s="9">
        <f t="shared" si="8"/>
        <v>24.60000000000001</v>
      </c>
      <c r="C120" s="9">
        <f t="shared" si="9"/>
        <v>0.8000000000000114</v>
      </c>
      <c r="D120" s="10" t="str">
        <f>TRIM(Compilation!F92)</f>
        <v>L</v>
      </c>
      <c r="E120" s="11" t="str">
        <f>Compilation!I92</f>
        <v>Rt 646 / Jager Rd</v>
      </c>
      <c r="F120" s="32"/>
      <c r="G120" s="45">
        <f>Compilation!J92</f>
      </c>
      <c r="H120" s="3">
        <f t="shared" si="10"/>
      </c>
      <c r="I120" s="3">
        <f t="shared" si="11"/>
        <v>3</v>
      </c>
      <c r="J120" s="12">
        <f>IF(ISNUMBER(FIND("Controle",H120)),MATCH(H120,Controle!B:B,0),"")</f>
      </c>
      <c r="K120" s="7">
        <f t="shared" si="12"/>
        <v>83.8</v>
      </c>
      <c r="L120" s="7" t="str">
        <f t="shared" si="13"/>
        <v>Rt 646 / Jager Rd</v>
      </c>
      <c r="M120" s="13"/>
    </row>
    <row r="121" spans="1:13" ht="33">
      <c r="A121" s="9">
        <f>Compilation!E93</f>
        <v>109</v>
      </c>
      <c r="B121" s="9">
        <f t="shared" si="8"/>
        <v>25.200000000000003</v>
      </c>
      <c r="C121" s="9">
        <f t="shared" si="9"/>
        <v>0.5999999999999943</v>
      </c>
      <c r="D121" s="10" t="str">
        <f>TRIM(Compilation!F93)</f>
        <v>BL</v>
      </c>
      <c r="E121" s="11" t="str">
        <f>Compilation!I93</f>
        <v>FMR TRO Rt 646 / Jager Rd (Jct Ayers Rd)</v>
      </c>
      <c r="F121" s="32"/>
      <c r="G121" s="45">
        <f>Compilation!J93</f>
      </c>
      <c r="H121" s="3">
        <f t="shared" si="10"/>
      </c>
      <c r="I121" s="3">
        <f t="shared" si="11"/>
        <v>3</v>
      </c>
      <c r="J121" s="12">
        <f>IF(ISNUMBER(FIND("Controle",H121)),MATCH(H121,Controle!B:B,0),"")</f>
      </c>
      <c r="K121" s="7">
        <f t="shared" si="12"/>
        <v>83.8</v>
      </c>
      <c r="L121" s="7" t="str">
        <f t="shared" si="13"/>
        <v>FMR TRO Rt 646 / Jager Rd (Jct Ayers Rd)</v>
      </c>
      <c r="M121" s="13"/>
    </row>
    <row r="122" spans="1:13" ht="33">
      <c r="A122" s="9">
        <f>Compilation!E94</f>
        <v>110</v>
      </c>
      <c r="B122" s="9">
        <f t="shared" si="8"/>
        <v>26.200000000000003</v>
      </c>
      <c r="C122" s="9">
        <f t="shared" si="9"/>
        <v>1</v>
      </c>
      <c r="D122" s="10" t="str">
        <f>TRIM(Compilation!F94)</f>
        <v>T R</v>
      </c>
      <c r="E122" s="11" t="str">
        <f>Compilation!I94</f>
        <v>(unmarked) Old Mine Rd (Caution abrupt stop)</v>
      </c>
      <c r="F122" s="32"/>
      <c r="G122" s="45">
        <f>Compilation!J94</f>
      </c>
      <c r="H122" s="3">
        <f t="shared" si="10"/>
      </c>
      <c r="I122" s="3">
        <f t="shared" si="11"/>
        <v>3</v>
      </c>
      <c r="J122" s="12">
        <f>IF(ISNUMBER(FIND("Controle",H122)),MATCH(H122,Controle!B:B,0),"")</f>
      </c>
      <c r="K122" s="7">
        <f t="shared" si="12"/>
        <v>83.8</v>
      </c>
      <c r="L122" s="7" t="str">
        <f t="shared" si="13"/>
        <v>(unmarked) Old Mine Rd (Caution abrupt stop)</v>
      </c>
      <c r="M122" s="13"/>
    </row>
    <row r="123" spans="1:13" ht="33">
      <c r="A123" s="9">
        <f>Compilation!E95</f>
        <v>110.7</v>
      </c>
      <c r="B123" s="9">
        <f t="shared" si="8"/>
        <v>26.900000000000006</v>
      </c>
      <c r="C123" s="9">
        <f t="shared" si="9"/>
        <v>0.7000000000000028</v>
      </c>
      <c r="D123" s="10" t="str">
        <f>TRIM(Compilation!F95)</f>
        <v>Caution</v>
      </c>
      <c r="E123" s="11" t="str">
        <f>Compilation!I95</f>
        <v>Rough road/gravel patches ahead</v>
      </c>
      <c r="F123" s="32"/>
      <c r="G123" s="45">
        <f>Compilation!J95</f>
      </c>
      <c r="H123" s="3">
        <f t="shared" si="10"/>
      </c>
      <c r="I123" s="3">
        <f t="shared" si="11"/>
        <v>3</v>
      </c>
      <c r="J123" s="12">
        <f>IF(ISNUMBER(FIND("Controle",H123)),MATCH(H123,Controle!B:B,0),"")</f>
      </c>
      <c r="K123" s="7">
        <f t="shared" si="12"/>
        <v>83.8</v>
      </c>
      <c r="L123" s="7" t="str">
        <f t="shared" si="13"/>
        <v>Rough road/gravel patches ahead</v>
      </c>
      <c r="M123" s="13"/>
    </row>
    <row r="124" spans="1:13" ht="49.5">
      <c r="A124" s="9">
        <f>Compilation!E96</f>
        <v>113.3</v>
      </c>
      <c r="B124" s="9">
        <f t="shared" si="8"/>
        <v>29.5</v>
      </c>
      <c r="C124" s="9">
        <f t="shared" si="9"/>
        <v>2.5999999999999943</v>
      </c>
      <c r="D124" s="10" t="str">
        <f>TRIM(Compilation!F96)</f>
        <v>TL+QBR</v>
      </c>
      <c r="E124" s="11" t="str">
        <f>Compilation!I96</f>
        <v>Rt 521 North / River Rd (crossing Rt 206) NOT Deckertown Tpk</v>
      </c>
      <c r="F124" s="32"/>
      <c r="G124" s="45">
        <f>Compilation!J96</f>
      </c>
      <c r="H124" s="3">
        <f t="shared" si="10"/>
      </c>
      <c r="I124" s="3">
        <f t="shared" si="11"/>
        <v>3</v>
      </c>
      <c r="J124" s="12">
        <f>IF(ISNUMBER(FIND("Controle",H124)),MATCH(H124,Controle!B:B,0),"")</f>
      </c>
      <c r="K124" s="7">
        <f t="shared" si="12"/>
        <v>83.8</v>
      </c>
      <c r="L124" s="7" t="str">
        <f t="shared" si="13"/>
        <v>Rt 521 North / River Rd (crossing Rt 206) NOT Deckertown Tpk</v>
      </c>
      <c r="M124" s="13"/>
    </row>
    <row r="125" spans="1:13" ht="33">
      <c r="A125" s="9">
        <f>Compilation!E97</f>
        <v>120.8</v>
      </c>
      <c r="B125" s="9">
        <f t="shared" si="8"/>
        <v>37</v>
      </c>
      <c r="C125" s="9">
        <f t="shared" si="9"/>
        <v>7.5</v>
      </c>
      <c r="D125" s="10" t="str">
        <f>TRIM(Compilation!F97)</f>
        <v>T L</v>
      </c>
      <c r="E125" s="11" t="str">
        <f>Compilation!I97</f>
        <v>(TFL) Rt 6 / Main St [Port Jervis NY]</v>
      </c>
      <c r="F125" s="32"/>
      <c r="G125" s="45">
        <f>Compilation!J97</f>
      </c>
      <c r="H125" s="3">
        <f t="shared" si="10"/>
      </c>
      <c r="I125" s="3">
        <f t="shared" si="11"/>
        <v>3</v>
      </c>
      <c r="J125" s="12">
        <f>IF(ISNUMBER(FIND("Controle",H125)),MATCH(H125,Controle!B:B,0),"")</f>
      </c>
      <c r="K125" s="7">
        <f t="shared" si="12"/>
        <v>83.8</v>
      </c>
      <c r="L125" s="7" t="str">
        <f t="shared" si="13"/>
        <v>(TFL) Rt 6 / Main St [Port Jervis NY]</v>
      </c>
      <c r="M125" s="13"/>
    </row>
    <row r="126" spans="1:13" ht="33.75" thickBot="1">
      <c r="A126" s="9">
        <f>Compilation!E98</f>
        <v>121.9</v>
      </c>
      <c r="B126" s="9">
        <f t="shared" si="8"/>
        <v>38.10000000000001</v>
      </c>
      <c r="C126" s="9">
        <f t="shared" si="9"/>
        <v>1.1000000000000085</v>
      </c>
      <c r="D126" s="10" t="str">
        <f>TRIM(Compilation!F98)</f>
        <v>STOP</v>
      </c>
      <c r="E126" s="11" t="str">
        <f>Compilation!I98</f>
        <v>Controle Muller's Port Jervis Diner (on left at TFL)</v>
      </c>
      <c r="F126" s="32"/>
      <c r="G126" s="45" t="str">
        <f>Compilation!J98</f>
        <v>Diner stores</v>
      </c>
      <c r="H126" s="3" t="str">
        <f t="shared" si="10"/>
        <v>Controle 4</v>
      </c>
      <c r="I126" s="3">
        <f t="shared" si="11"/>
        <v>4</v>
      </c>
      <c r="J126" s="12">
        <f>IF(ISNUMBER(FIND("Controle",H126)),MATCH(H126,Controle!B:B,0),"")</f>
        <v>12</v>
      </c>
      <c r="K126" s="7">
        <f t="shared" si="12"/>
        <v>83.8</v>
      </c>
      <c r="L126" s="7" t="str">
        <f t="shared" si="13"/>
        <v>Controle Muller's Port Jervis Diner (on left at TFL)</v>
      </c>
      <c r="M126" s="13"/>
    </row>
    <row r="127" spans="1:12" ht="16.5">
      <c r="A127" s="53" t="str">
        <f>INDEX(Controle!H:H,Cue!J126)&amp;" "</f>
        <v>Controle 4 Muller's Port Jervis Diner (845) 856-7978 </v>
      </c>
      <c r="B127" s="54"/>
      <c r="C127" s="54"/>
      <c r="D127" s="54"/>
      <c r="E127" s="55"/>
      <c r="F127" s="30"/>
      <c r="G127" s="43"/>
      <c r="H127" s="3">
        <f>IF(ISNUMBER(FIND("Controle",E127)),LEFT(E127,FIND(" ",E127,10)-1),"")</f>
      </c>
      <c r="I127" s="3">
        <f>IF(LEFT(E127,8)="Controle",I126+1,I126)</f>
        <v>4</v>
      </c>
      <c r="J127" s="12">
        <f>IF(ISNUMBER(FIND("Controle",H127)),MATCH(H127,Controle!B:B,0),"")</f>
      </c>
      <c r="K127" s="7">
        <f>IF(B126="Leg",A127,K126)</f>
        <v>83.8</v>
      </c>
      <c r="L127" s="7">
        <f>E127</f>
        <v>0</v>
      </c>
    </row>
    <row r="128" spans="1:12" ht="16.5">
      <c r="A128" s="50" t="str">
        <f>INDEX(Controle!H:H,Cue!J126+1)&amp;" "</f>
        <v>41 East Main St / Rt 6, Port Jervis, NY </v>
      </c>
      <c r="B128" s="51"/>
      <c r="C128" s="51"/>
      <c r="D128" s="51"/>
      <c r="E128" s="52"/>
      <c r="F128" s="30"/>
      <c r="G128" s="43"/>
      <c r="H128" s="3">
        <f>IF(ISNUMBER(FIND("Controle",E128)),LEFT(E128,FIND(" ",E128,10)-1),"")</f>
      </c>
      <c r="I128" s="3">
        <f>IF(LEFT(E128,8)="Controle",I127+1,I127)</f>
        <v>4</v>
      </c>
      <c r="J128" s="12">
        <f>IF(ISNUMBER(FIND("Controle",H128)),MATCH(H128,Controle!B:B,0),"")</f>
      </c>
      <c r="K128" s="7">
        <f>IF(B127="Leg",A128,K127)</f>
        <v>83.8</v>
      </c>
      <c r="L128" s="7">
        <f>E128</f>
        <v>0</v>
      </c>
    </row>
    <row r="129" spans="1:13" ht="17.25" thickBot="1">
      <c r="A129" s="47" t="str">
        <f>INDEX(Controle!H:H,Cue!J126+2)&amp;" "</f>
        <v>open: 08/08 09:46  close: 08/08 17:04 </v>
      </c>
      <c r="B129" s="48"/>
      <c r="C129" s="48"/>
      <c r="D129" s="48"/>
      <c r="E129" s="49"/>
      <c r="F129" s="31"/>
      <c r="G129" s="44"/>
      <c r="H129" s="3">
        <f>IF(ISNUMBER(FIND("Controle",E129)),LEFT(E129,FIND(" ",E129,10)-1),"")</f>
      </c>
      <c r="I129" s="3">
        <f>IF(LEFT(E129,8)="Controle",I128+1,I128)</f>
        <v>4</v>
      </c>
      <c r="J129" s="12">
        <f>IF(ISNUMBER(FIND("Controle",H129)),MATCH(H129,Controle!B:B,0),"")</f>
      </c>
      <c r="K129" s="7">
        <f>IF(B128="Leg",A129,K128)</f>
        <v>83.8</v>
      </c>
      <c r="L129" s="7">
        <f>E129</f>
        <v>0</v>
      </c>
      <c r="M129" s="8"/>
    </row>
    <row r="130" spans="1:13" ht="33">
      <c r="A130" s="9">
        <f>Compilation!E99</f>
        <v>121.9</v>
      </c>
      <c r="B130" s="9">
        <f aca="true" t="shared" si="14" ref="B130:B202">A130-K130</f>
        <v>0</v>
      </c>
      <c r="C130" s="9">
        <f>A130-A126</f>
        <v>0</v>
      </c>
      <c r="D130" s="10" t="str">
        <f>TRIM(Compilation!F99)</f>
        <v>Continue</v>
      </c>
      <c r="E130" s="11" t="str">
        <f>Compilation!I99</f>
        <v>Leave controle left on Rt 6 / Main St (same direction)</v>
      </c>
      <c r="F130" s="32"/>
      <c r="G130" s="45">
        <f>Compilation!J99</f>
      </c>
      <c r="H130" s="3">
        <f aca="true" t="shared" si="15" ref="H130:H202">IF(ISNUMBER(FIND("Controle",E130)),"Controle "&amp;I130,"")</f>
      </c>
      <c r="I130" s="3">
        <f>IF(LEFT(E130,8)="Controle",I126+1,I126)</f>
        <v>4</v>
      </c>
      <c r="J130" s="12">
        <f>IF(ISNUMBER(FIND("Controle",H130)),MATCH(H130,Controle!B:B,0),"")</f>
      </c>
      <c r="K130" s="7">
        <f>IF(H126&lt;&gt;"",A130,K126)</f>
        <v>121.9</v>
      </c>
      <c r="L130" s="7" t="str">
        <f aca="true" t="shared" si="16" ref="L130:L202">E130</f>
        <v>Leave controle left on Rt 6 / Main St (same direction)</v>
      </c>
      <c r="M130" s="13"/>
    </row>
    <row r="131" spans="1:13" ht="16.5">
      <c r="A131" s="9">
        <f>Compilation!E100</f>
        <v>122.2</v>
      </c>
      <c r="B131" s="9">
        <f t="shared" si="14"/>
        <v>0.29999999999999716</v>
      </c>
      <c r="C131" s="9">
        <f aca="true" t="shared" si="17" ref="C131:C202">A131-A130</f>
        <v>0.29999999999999716</v>
      </c>
      <c r="D131" s="10" t="str">
        <f>TRIM(Compilation!F100)</f>
        <v>Straight</v>
      </c>
      <c r="E131" s="11" t="str">
        <f>Compilation!I100</f>
        <v>(TFL) Joining Rt 42</v>
      </c>
      <c r="F131" s="32"/>
      <c r="G131" s="45" t="str">
        <f>Compilation!J100</f>
        <v>Stores MiniMart</v>
      </c>
      <c r="H131" s="3">
        <f t="shared" si="15"/>
      </c>
      <c r="I131" s="3">
        <f aca="true" t="shared" si="18" ref="I131:I202">IF(LEFT(E131,8)="Controle",I130+1,I130)</f>
        <v>4</v>
      </c>
      <c r="J131" s="12">
        <f>IF(ISNUMBER(FIND("Controle",H131)),MATCH(H131,Controle!B:B,0),"")</f>
      </c>
      <c r="K131" s="7">
        <f aca="true" t="shared" si="19" ref="K131:K202">IF(H130&lt;&gt;"",A131,K130)</f>
        <v>121.9</v>
      </c>
      <c r="L131" s="7" t="str">
        <f t="shared" si="16"/>
        <v>(TFL) Joining Rt 42</v>
      </c>
      <c r="M131" s="13"/>
    </row>
    <row r="132" spans="1:13" ht="33">
      <c r="A132" s="9">
        <f>Compilation!E101</f>
        <v>125</v>
      </c>
      <c r="B132" s="9">
        <f t="shared" si="14"/>
        <v>3.0999999999999943</v>
      </c>
      <c r="C132" s="9">
        <f t="shared" si="17"/>
        <v>2.799999999999997</v>
      </c>
      <c r="D132" s="10" t="str">
        <f>TRIM(Compilation!F101)</f>
        <v>Straight</v>
      </c>
      <c r="E132" s="11" t="str">
        <f>Compilation!I101</f>
        <v>FMR Rt 97 (leaving Rt 42 which goes right)</v>
      </c>
      <c r="F132" s="32"/>
      <c r="G132" s="45">
        <f>Compilation!J101</f>
      </c>
      <c r="H132" s="3">
        <f t="shared" si="15"/>
      </c>
      <c r="I132" s="3">
        <f t="shared" si="18"/>
        <v>4</v>
      </c>
      <c r="J132" s="12">
        <f>IF(ISNUMBER(FIND("Controle",H132)),MATCH(H132,Controle!B:B,0),"")</f>
      </c>
      <c r="K132" s="7">
        <f t="shared" si="19"/>
        <v>121.9</v>
      </c>
      <c r="L132" s="7" t="str">
        <f t="shared" si="16"/>
        <v>FMR Rt 97 (leaving Rt 42 which goes right)</v>
      </c>
      <c r="M132" s="13"/>
    </row>
    <row r="133" spans="1:13" ht="33">
      <c r="A133" s="9">
        <f>Compilation!E102</f>
        <v>127.5</v>
      </c>
      <c r="B133" s="9">
        <f t="shared" si="14"/>
        <v>5.599999999999994</v>
      </c>
      <c r="C133" s="9">
        <f t="shared" si="17"/>
        <v>2.5</v>
      </c>
      <c r="D133" s="10" t="str">
        <f>TRIM(Compilation!F102)</f>
        <v>Pass</v>
      </c>
      <c r="E133" s="11" t="str">
        <f>Compilation!I102</f>
        <v>POI Hawk's Nest overlooks on left) </v>
      </c>
      <c r="F133" s="32"/>
      <c r="G133" s="45" t="str">
        <f>Compilation!J102</f>
        <v>Scenic Vista</v>
      </c>
      <c r="H133" s="3">
        <f t="shared" si="15"/>
      </c>
      <c r="I133" s="3">
        <f t="shared" si="18"/>
        <v>4</v>
      </c>
      <c r="J133" s="12">
        <f>IF(ISNUMBER(FIND("Controle",H133)),MATCH(H133,Controle!B:B,0),"")</f>
      </c>
      <c r="K133" s="7">
        <f t="shared" si="19"/>
        <v>121.9</v>
      </c>
      <c r="L133" s="7" t="str">
        <f t="shared" si="16"/>
        <v>POI Hawk's Nest overlooks on left) </v>
      </c>
      <c r="M133" s="13"/>
    </row>
    <row r="134" spans="1:13" ht="33">
      <c r="A134" s="9">
        <f>Compilation!E103</f>
        <v>128.5</v>
      </c>
      <c r="B134" s="9">
        <f t="shared" si="14"/>
        <v>6.599999999999994</v>
      </c>
      <c r="C134" s="9">
        <f t="shared" si="17"/>
        <v>1</v>
      </c>
      <c r="D134" s="10" t="str">
        <f>TRIM(Compilation!F103)</f>
        <v>***R</v>
      </c>
      <c r="E134" s="11" t="str">
        <f>Compilation!I103</f>
        <v>Rt 31 (at bottom of descent).."Glen Spey 5"</v>
      </c>
      <c r="F134" s="32"/>
      <c r="G134" s="45">
        <f>Compilation!J103</f>
      </c>
      <c r="H134" s="3">
        <f t="shared" si="15"/>
      </c>
      <c r="I134" s="3">
        <f t="shared" si="18"/>
        <v>4</v>
      </c>
      <c r="J134" s="12">
        <f>IF(ISNUMBER(FIND("Controle",H134)),MATCH(H134,Controle!B:B,0),"")</f>
      </c>
      <c r="K134" s="7">
        <f t="shared" si="19"/>
        <v>121.9</v>
      </c>
      <c r="L134" s="7" t="str">
        <f t="shared" si="16"/>
        <v>Rt 31 (at bottom of descent).."Glen Spey 5"</v>
      </c>
      <c r="M134" s="13"/>
    </row>
    <row r="135" spans="1:13" ht="33">
      <c r="A135" s="9">
        <f>Compilation!E104</f>
        <v>133.9</v>
      </c>
      <c r="B135" s="9">
        <f t="shared" si="14"/>
        <v>12</v>
      </c>
      <c r="C135" s="9">
        <f t="shared" si="17"/>
        <v>5.400000000000006</v>
      </c>
      <c r="D135" s="10" t="str">
        <f>TRIM(Compilation!F104)</f>
        <v>TR + QL</v>
      </c>
      <c r="E135" s="11" t="str">
        <f>Compilation!I104</f>
        <v>Rt 32 (crossing Rt 42/41) [Glen Spey] </v>
      </c>
      <c r="F135" s="32"/>
      <c r="G135" s="45" t="str">
        <f>Compilation!J104</f>
        <v>Pizza</v>
      </c>
      <c r="H135" s="3">
        <f t="shared" si="15"/>
      </c>
      <c r="I135" s="3">
        <f t="shared" si="18"/>
        <v>4</v>
      </c>
      <c r="J135" s="12">
        <f>IF(ISNUMBER(FIND("Controle",H135)),MATCH(H135,Controle!B:B,0),"")</f>
      </c>
      <c r="K135" s="7">
        <f t="shared" si="19"/>
        <v>121.9</v>
      </c>
      <c r="L135" s="7" t="str">
        <f t="shared" si="16"/>
        <v>Rt 32 (crossing Rt 42/41) [Glen Spey] </v>
      </c>
      <c r="M135" s="13"/>
    </row>
    <row r="136" spans="1:13" ht="33.75" thickBot="1">
      <c r="A136" s="9">
        <f>Compilation!E105</f>
        <v>139.1</v>
      </c>
      <c r="B136" s="9">
        <f t="shared" si="14"/>
        <v>17.19999999999999</v>
      </c>
      <c r="C136" s="9">
        <f t="shared" si="17"/>
        <v>5.199999999999989</v>
      </c>
      <c r="D136" s="10" t="str">
        <f>TRIM(Compilation!F105)</f>
        <v>STOP</v>
      </c>
      <c r="E136" s="11" t="str">
        <f>Compilation!I105</f>
        <v>Controle The Corner (on right at TFL junction Rt 55)</v>
      </c>
      <c r="F136" s="32"/>
      <c r="G136" s="45" t="str">
        <f>Compilation!J105</f>
        <v>Deli</v>
      </c>
      <c r="H136" s="3" t="str">
        <f t="shared" si="15"/>
        <v>Controle 5</v>
      </c>
      <c r="I136" s="3">
        <f t="shared" si="18"/>
        <v>5</v>
      </c>
      <c r="J136" s="12">
        <f>IF(ISNUMBER(FIND("Controle",H136)),MATCH(H136,Controle!B:B,0),"")</f>
        <v>15</v>
      </c>
      <c r="K136" s="7">
        <f t="shared" si="19"/>
        <v>121.9</v>
      </c>
      <c r="L136" s="7" t="str">
        <f t="shared" si="16"/>
        <v>Controle The Corner (on right at TFL junction Rt 55)</v>
      </c>
      <c r="M136" s="13"/>
    </row>
    <row r="137" spans="1:12" ht="16.5">
      <c r="A137" s="53" t="str">
        <f>INDEX(Controle!H:H,Cue!J136)&amp;" "</f>
        <v>Controle 5 The Corner (845) 557-3321 </v>
      </c>
      <c r="B137" s="54"/>
      <c r="C137" s="54"/>
      <c r="D137" s="54"/>
      <c r="E137" s="55"/>
      <c r="F137" s="30"/>
      <c r="G137" s="43"/>
      <c r="H137" s="3">
        <f>IF(ISNUMBER(FIND("Controle",E137)),LEFT(E137,FIND(" ",E137,10)-1),"")</f>
      </c>
      <c r="I137" s="3">
        <f>IF(LEFT(E137,8)="Controle",I136+1,I136)</f>
        <v>5</v>
      </c>
      <c r="J137" s="12">
        <f>IF(ISNUMBER(FIND("Controle",H137)),MATCH(H137,Controle!B:B,0),"")</f>
      </c>
      <c r="K137" s="7">
        <f>IF(B136="Leg",A137,K136)</f>
        <v>121.9</v>
      </c>
      <c r="L137" s="7">
        <f t="shared" si="16"/>
        <v>0</v>
      </c>
    </row>
    <row r="138" spans="1:12" ht="16.5">
      <c r="A138" s="50" t="str">
        <f>INDEX(Controle!H:H,Cue!J136+1)&amp;" "</f>
        <v>577 Rt 55, Eldred, NY </v>
      </c>
      <c r="B138" s="51"/>
      <c r="C138" s="51"/>
      <c r="D138" s="51"/>
      <c r="E138" s="52"/>
      <c r="F138" s="30"/>
      <c r="G138" s="43"/>
      <c r="H138" s="3">
        <f>IF(ISNUMBER(FIND("Controle",E138)),LEFT(E138,FIND(" ",E138,10)-1),"")</f>
      </c>
      <c r="I138" s="3">
        <f>IF(LEFT(E138,8)="Controle",I137+1,I137)</f>
        <v>5</v>
      </c>
      <c r="J138" s="12">
        <f>IF(ISNUMBER(FIND("Controle",H138)),MATCH(H138,Controle!B:B,0),"")</f>
      </c>
      <c r="K138" s="7">
        <f>IF(B137="Leg",A138,K137)</f>
        <v>121.9</v>
      </c>
      <c r="L138" s="7">
        <f t="shared" si="16"/>
        <v>0</v>
      </c>
    </row>
    <row r="139" spans="1:13" ht="17.25" thickBot="1">
      <c r="A139" s="47" t="str">
        <f>INDEX(Controle!H:H,Cue!J136+2)&amp;" "</f>
        <v>open: 08/08 10:38  close: 08/08 18:56 </v>
      </c>
      <c r="B139" s="48"/>
      <c r="C139" s="48"/>
      <c r="D139" s="48"/>
      <c r="E139" s="49"/>
      <c r="F139" s="31"/>
      <c r="G139" s="44"/>
      <c r="H139" s="3">
        <f>IF(ISNUMBER(FIND("Controle",E139)),LEFT(E139,FIND(" ",E139,10)-1),"")</f>
      </c>
      <c r="I139" s="3">
        <f>IF(LEFT(E139,8)="Controle",I138+1,I138)</f>
        <v>5</v>
      </c>
      <c r="J139" s="12">
        <f>IF(ISNUMBER(FIND("Controle",H139)),MATCH(H139,Controle!B:B,0),"")</f>
      </c>
      <c r="K139" s="7">
        <f>IF(B138="Leg",A139,K138)</f>
        <v>121.9</v>
      </c>
      <c r="L139" s="7">
        <f t="shared" si="16"/>
        <v>0</v>
      </c>
      <c r="M139" s="8"/>
    </row>
    <row r="140" spans="1:13" ht="33">
      <c r="A140" s="9">
        <f>Compilation!E106</f>
        <v>139.2</v>
      </c>
      <c r="B140" s="9">
        <f t="shared" si="14"/>
        <v>0</v>
      </c>
      <c r="C140" s="9">
        <f>A140-A136</f>
        <v>0.09999999999999432</v>
      </c>
      <c r="D140" s="10" t="str">
        <f>TRIM(Compilation!F106)</f>
        <v>Turn</v>
      </c>
      <c r="E140" s="11" t="str">
        <f>Compilation!I106</f>
        <v>Leave controle turning right on Rt 55 (towards Bethany Church)</v>
      </c>
      <c r="F140" s="32"/>
      <c r="G140" s="45">
        <f>Compilation!J106</f>
      </c>
      <c r="H140" s="3">
        <f t="shared" si="15"/>
      </c>
      <c r="I140" s="3">
        <f>IF(LEFT(E140,8)="Controle",I136+1,I136)</f>
        <v>5</v>
      </c>
      <c r="J140" s="12">
        <f>IF(ISNUMBER(FIND("Controle",H140)),MATCH(H140,Controle!B:B,0),"")</f>
      </c>
      <c r="K140" s="7">
        <f>IF(H136&lt;&gt;"",A140,K136)</f>
        <v>139.2</v>
      </c>
      <c r="L140" s="7" t="str">
        <f t="shared" si="16"/>
        <v>Leave controle turning right on Rt 55 (towards Bethany Church)</v>
      </c>
      <c r="M140" s="13"/>
    </row>
    <row r="141" spans="1:13" ht="33">
      <c r="A141" s="9">
        <f>Compilation!E107</f>
        <v>143.1</v>
      </c>
      <c r="B141" s="9">
        <f t="shared" si="14"/>
        <v>3.9000000000000057</v>
      </c>
      <c r="C141" s="9">
        <f t="shared" si="17"/>
        <v>3.9000000000000057</v>
      </c>
      <c r="D141" s="10" t="str">
        <f>TRIM(Compilation!F107)</f>
        <v>R</v>
      </c>
      <c r="E141" s="11" t="str">
        <f>Compilation!I107</f>
        <v>(TFL) (unmarked) Rt 97 (Jct Rt 434)  [Barryville NY]</v>
      </c>
      <c r="F141" s="32"/>
      <c r="G141" s="45" t="str">
        <f>Compilation!J107</f>
        <v>Store</v>
      </c>
      <c r="H141" s="3">
        <f t="shared" si="15"/>
      </c>
      <c r="I141" s="3">
        <f t="shared" si="18"/>
        <v>5</v>
      </c>
      <c r="J141" s="12">
        <f>IF(ISNUMBER(FIND("Controle",H141)),MATCH(H141,Controle!B:B,0),"")</f>
      </c>
      <c r="K141" s="7">
        <f t="shared" si="19"/>
        <v>139.2</v>
      </c>
      <c r="L141" s="7" t="str">
        <f t="shared" si="16"/>
        <v>(TFL) (unmarked) Rt 97 (Jct Rt 434)  [Barryville NY]</v>
      </c>
      <c r="M141" s="13"/>
    </row>
    <row r="142" spans="1:13" ht="33">
      <c r="A142" s="9">
        <f>Compilation!E108</f>
        <v>147.2</v>
      </c>
      <c r="B142" s="9">
        <f t="shared" si="14"/>
        <v>8</v>
      </c>
      <c r="C142" s="9">
        <f t="shared" si="17"/>
        <v>4.099999999999994</v>
      </c>
      <c r="D142" s="10" t="str">
        <f>TRIM(Compilation!F108)</f>
        <v>L</v>
      </c>
      <c r="E142" s="11" t="str">
        <f>Compilation!I108</f>
        <v>(unmarked) Roebling bridge / Rt 168 (ride bike across bridge)</v>
      </c>
      <c r="F142" s="32"/>
      <c r="G142" s="45">
        <f>Compilation!J108</f>
      </c>
      <c r="H142" s="3">
        <f t="shared" si="15"/>
      </c>
      <c r="I142" s="3">
        <f t="shared" si="18"/>
        <v>5</v>
      </c>
      <c r="J142" s="12">
        <f>IF(ISNUMBER(FIND("Controle",H142)),MATCH(H142,Controle!B:B,0),"")</f>
      </c>
      <c r="K142" s="7">
        <f t="shared" si="19"/>
        <v>139.2</v>
      </c>
      <c r="L142" s="7" t="str">
        <f t="shared" si="16"/>
        <v>(unmarked) Roebling bridge / Rt 168 (ride bike across bridge)</v>
      </c>
      <c r="M142" s="13"/>
    </row>
    <row r="143" spans="1:13" ht="33">
      <c r="A143" s="9">
        <f>Compilation!E109</f>
        <v>147.4</v>
      </c>
      <c r="B143" s="9">
        <f t="shared" si="14"/>
        <v>8.200000000000017</v>
      </c>
      <c r="C143" s="9">
        <f t="shared" si="17"/>
        <v>0.20000000000001705</v>
      </c>
      <c r="D143" s="10" t="str">
        <f>TRIM(Compilation!F109)</f>
        <v>T R</v>
      </c>
      <c r="E143" s="11" t="str">
        <f>Compilation!I109</f>
        <v>(unmarked) Lackawaxen Scenic Dr ..follow "Zane Grey"</v>
      </c>
      <c r="F143" s="32"/>
      <c r="G143" s="45">
        <f>Compilation!J109</f>
      </c>
      <c r="H143" s="3">
        <f t="shared" si="15"/>
      </c>
      <c r="I143" s="3">
        <f t="shared" si="18"/>
        <v>5</v>
      </c>
      <c r="J143" s="12">
        <f>IF(ISNUMBER(FIND("Controle",H143)),MATCH(H143,Controle!B:B,0),"")</f>
      </c>
      <c r="K143" s="7">
        <f t="shared" si="19"/>
        <v>139.2</v>
      </c>
      <c r="L143" s="7" t="str">
        <f t="shared" si="16"/>
        <v>(unmarked) Lackawaxen Scenic Dr ..follow "Zane Grey"</v>
      </c>
      <c r="M143" s="13"/>
    </row>
    <row r="144" spans="1:13" ht="16.5">
      <c r="A144" s="9">
        <f>Compilation!E110</f>
        <v>147.9</v>
      </c>
      <c r="B144" s="9">
        <f t="shared" si="14"/>
        <v>8.700000000000017</v>
      </c>
      <c r="C144" s="9">
        <f t="shared" si="17"/>
        <v>0.5</v>
      </c>
      <c r="D144" s="10" t="str">
        <f>TRIM(Compilation!F110)</f>
        <v>T R</v>
      </c>
      <c r="E144" s="11" t="str">
        <f>Compilation!I110</f>
        <v>(SS) Rt 590 West</v>
      </c>
      <c r="F144" s="32"/>
      <c r="G144" s="45" t="str">
        <f>Compilation!J110</f>
        <v>Deli</v>
      </c>
      <c r="H144" s="3">
        <f t="shared" si="15"/>
      </c>
      <c r="I144" s="3">
        <f t="shared" si="18"/>
        <v>5</v>
      </c>
      <c r="J144" s="12">
        <f>IF(ISNUMBER(FIND("Controle",H144)),MATCH(H144,Controle!B:B,0),"")</f>
      </c>
      <c r="K144" s="7">
        <f t="shared" si="19"/>
        <v>139.2</v>
      </c>
      <c r="L144" s="7" t="str">
        <f t="shared" si="16"/>
        <v>(SS) Rt 590 West</v>
      </c>
      <c r="M144" s="13"/>
    </row>
    <row r="145" spans="1:13" ht="33">
      <c r="A145" s="9">
        <f>Compilation!E111</f>
        <v>151.7</v>
      </c>
      <c r="B145" s="9">
        <f t="shared" si="14"/>
        <v>12.5</v>
      </c>
      <c r="C145" s="9">
        <f t="shared" si="17"/>
        <v>3.799999999999983</v>
      </c>
      <c r="D145" s="10" t="str">
        <f>TRIM(Compilation!F111)</f>
        <v>Straight</v>
      </c>
      <c r="E145" s="11" t="str">
        <f>Compilation!I111</f>
        <v>(SS) Towpath Rd / Rt 4006 (leaving Rt 590)</v>
      </c>
      <c r="F145" s="32"/>
      <c r="G145" s="45" t="str">
        <f>Compilation!J111</f>
        <v>Restaurant</v>
      </c>
      <c r="H145" s="3">
        <f t="shared" si="15"/>
      </c>
      <c r="I145" s="3">
        <f t="shared" si="18"/>
        <v>5</v>
      </c>
      <c r="J145" s="12">
        <f>IF(ISNUMBER(FIND("Controle",H145)),MATCH(H145,Controle!B:B,0),"")</f>
      </c>
      <c r="K145" s="7">
        <f t="shared" si="19"/>
        <v>139.2</v>
      </c>
      <c r="L145" s="7" t="str">
        <f t="shared" si="16"/>
        <v>(SS) Towpath Rd / Rt 4006 (leaving Rt 590)</v>
      </c>
      <c r="M145" s="13"/>
    </row>
    <row r="146" spans="1:13" ht="49.5">
      <c r="A146" s="9">
        <f>Compilation!E112</f>
        <v>159.8</v>
      </c>
      <c r="B146" s="9">
        <f t="shared" si="14"/>
        <v>20.600000000000023</v>
      </c>
      <c r="C146" s="9">
        <f t="shared" si="17"/>
        <v>8.100000000000023</v>
      </c>
      <c r="D146" s="10" t="str">
        <f>TRIM(Compilation!F112)</f>
        <v>***Sharp L</v>
      </c>
      <c r="E146" s="11" t="str">
        <f>Compilation!I112</f>
        <v>(unmarked) Kimbles Rd (Hendricks on right) (just past cemetary at top of climb)</v>
      </c>
      <c r="F146" s="32"/>
      <c r="G146" s="45">
        <f>Compilation!J112</f>
      </c>
      <c r="H146" s="3">
        <f t="shared" si="15"/>
      </c>
      <c r="I146" s="3">
        <f t="shared" si="18"/>
        <v>5</v>
      </c>
      <c r="J146" s="12">
        <f>IF(ISNUMBER(FIND("Controle",H146)),MATCH(H146,Controle!B:B,0),"")</f>
      </c>
      <c r="K146" s="7">
        <f t="shared" si="19"/>
        <v>139.2</v>
      </c>
      <c r="L146" s="7" t="str">
        <f t="shared" si="16"/>
        <v>(unmarked) Kimbles Rd (Hendricks on right) (just past cemetary at top of climb)</v>
      </c>
      <c r="M146" s="13"/>
    </row>
    <row r="147" spans="1:13" ht="16.5">
      <c r="A147" s="9">
        <f>Compilation!E113</f>
        <v>163.1</v>
      </c>
      <c r="B147" s="9">
        <f t="shared" si="14"/>
        <v>23.900000000000006</v>
      </c>
      <c r="C147" s="9">
        <f t="shared" si="17"/>
        <v>3.299999999999983</v>
      </c>
      <c r="D147" s="10" t="str">
        <f>TRIM(Compilation!F113)</f>
        <v>T R</v>
      </c>
      <c r="E147" s="11" t="str">
        <f>Compilation!I113</f>
        <v>(unmarked) Rt 6</v>
      </c>
      <c r="F147" s="32"/>
      <c r="G147" s="45">
        <f>Compilation!J113</f>
      </c>
      <c r="H147" s="3">
        <f t="shared" si="15"/>
      </c>
      <c r="I147" s="3">
        <f t="shared" si="18"/>
        <v>5</v>
      </c>
      <c r="J147" s="12">
        <f>IF(ISNUMBER(FIND("Controle",H147)),MATCH(H147,Controle!B:B,0),"")</f>
      </c>
      <c r="K147" s="7">
        <f t="shared" si="19"/>
        <v>139.2</v>
      </c>
      <c r="L147" s="7" t="str">
        <f t="shared" si="16"/>
        <v>(unmarked) Rt 6</v>
      </c>
      <c r="M147" s="13"/>
    </row>
    <row r="148" spans="1:13" ht="33">
      <c r="A148" s="9">
        <f>Compilation!E114</f>
        <v>164.6</v>
      </c>
      <c r="B148" s="9">
        <f t="shared" si="14"/>
        <v>25.400000000000006</v>
      </c>
      <c r="C148" s="9">
        <f t="shared" si="17"/>
        <v>1.5</v>
      </c>
      <c r="D148" s="10" t="str">
        <f>TRIM(Compilation!F114)</f>
        <v>B R</v>
      </c>
      <c r="E148" s="11" t="str">
        <f>Compilation!I114</f>
        <v>(TFL at Rt 507) TRO Rt 6  (Lake Wallenpaupack)</v>
      </c>
      <c r="F148" s="32"/>
      <c r="G148" s="45">
        <f>Compilation!J114</f>
      </c>
      <c r="H148" s="3">
        <f t="shared" si="15"/>
      </c>
      <c r="I148" s="3">
        <f t="shared" si="18"/>
        <v>5</v>
      </c>
      <c r="J148" s="12">
        <f>IF(ISNUMBER(FIND("Controle",H148)),MATCH(H148,Controle!B:B,0),"")</f>
      </c>
      <c r="K148" s="7">
        <f t="shared" si="19"/>
        <v>139.2</v>
      </c>
      <c r="L148" s="7" t="str">
        <f t="shared" si="16"/>
        <v>(TFL at Rt 507) TRO Rt 6  (Lake Wallenpaupack)</v>
      </c>
      <c r="M148" s="13"/>
    </row>
    <row r="149" spans="1:13" ht="42.75">
      <c r="A149" s="9">
        <f>Compilation!E115</f>
        <v>165.9</v>
      </c>
      <c r="B149" s="9">
        <f t="shared" si="14"/>
        <v>26.700000000000017</v>
      </c>
      <c r="C149" s="9">
        <f t="shared" si="17"/>
        <v>1.3000000000000114</v>
      </c>
      <c r="D149" s="10" t="str">
        <f>TRIM(Compilation!F115)</f>
        <v>L</v>
      </c>
      <c r="E149" s="11" t="str">
        <f>Compilation!I115</f>
        <v>(TFL) Rt 590 West / Purdytown</v>
      </c>
      <c r="F149" s="32"/>
      <c r="G149" s="45" t="str">
        <f>Compilation!J115</f>
        <v>MiniMart FastFood Limited Services ahead</v>
      </c>
      <c r="H149" s="3">
        <f t="shared" si="15"/>
      </c>
      <c r="I149" s="3">
        <f t="shared" si="18"/>
        <v>5</v>
      </c>
      <c r="J149" s="12">
        <f>IF(ISNUMBER(FIND("Controle",H149)),MATCH(H149,Controle!B:B,0),"")</f>
      </c>
      <c r="K149" s="7">
        <f t="shared" si="19"/>
        <v>139.2</v>
      </c>
      <c r="L149" s="7" t="str">
        <f t="shared" si="16"/>
        <v>(TFL) Rt 590 West / Purdytown</v>
      </c>
      <c r="M149" s="13"/>
    </row>
    <row r="150" spans="1:13" ht="16.5">
      <c r="A150" s="9">
        <f>Compilation!E116</f>
        <v>166.8</v>
      </c>
      <c r="B150" s="9">
        <f t="shared" si="14"/>
        <v>27.600000000000023</v>
      </c>
      <c r="C150" s="9">
        <f t="shared" si="17"/>
        <v>0.9000000000000057</v>
      </c>
      <c r="D150" s="10" t="str">
        <f>TRIM(Compilation!F116)</f>
        <v>R</v>
      </c>
      <c r="E150" s="11" t="str">
        <f>Compilation!I116</f>
        <v>Owego Tpke / Rt 3028</v>
      </c>
      <c r="F150" s="32"/>
      <c r="G150" s="45">
        <f>Compilation!J116</f>
      </c>
      <c r="H150" s="3">
        <f t="shared" si="15"/>
      </c>
      <c r="I150" s="3">
        <f t="shared" si="18"/>
        <v>5</v>
      </c>
      <c r="J150" s="12">
        <f>IF(ISNUMBER(FIND("Controle",H150)),MATCH(H150,Controle!B:B,0),"")</f>
      </c>
      <c r="K150" s="7">
        <f t="shared" si="19"/>
        <v>139.2</v>
      </c>
      <c r="L150" s="7" t="str">
        <f t="shared" si="16"/>
        <v>Owego Tpke / Rt 3028</v>
      </c>
      <c r="M150" s="13"/>
    </row>
    <row r="151" spans="1:13" ht="16.5">
      <c r="A151" s="9">
        <f>Compilation!E117</f>
        <v>171.5</v>
      </c>
      <c r="B151" s="9">
        <f t="shared" si="14"/>
        <v>32.30000000000001</v>
      </c>
      <c r="C151" s="9">
        <f t="shared" si="17"/>
        <v>4.699999999999989</v>
      </c>
      <c r="D151" s="10" t="str">
        <f>TRIM(Compilation!F117)</f>
        <v>L</v>
      </c>
      <c r="E151" s="11" t="str">
        <f>Compilation!I117</f>
        <v>Rt 3042 / Shuman Rd</v>
      </c>
      <c r="F151" s="32"/>
      <c r="G151" s="45">
        <f>Compilation!J117</f>
      </c>
      <c r="H151" s="3">
        <f t="shared" si="15"/>
      </c>
      <c r="I151" s="3">
        <f t="shared" si="18"/>
        <v>5</v>
      </c>
      <c r="J151" s="12">
        <f>IF(ISNUMBER(FIND("Controle",H151)),MATCH(H151,Controle!B:B,0),"")</f>
      </c>
      <c r="K151" s="7">
        <f t="shared" si="19"/>
        <v>139.2</v>
      </c>
      <c r="L151" s="7" t="str">
        <f t="shared" si="16"/>
        <v>Rt 3042 / Shuman Rd</v>
      </c>
      <c r="M151" s="13"/>
    </row>
    <row r="152" spans="1:13" ht="16.5">
      <c r="A152" s="9">
        <f>Compilation!E118</f>
        <v>172.6</v>
      </c>
      <c r="B152" s="9">
        <f t="shared" si="14"/>
        <v>33.400000000000006</v>
      </c>
      <c r="C152" s="9">
        <f t="shared" si="17"/>
        <v>1.0999999999999943</v>
      </c>
      <c r="D152" s="10" t="str">
        <f>TRIM(Compilation!F118)</f>
        <v>L</v>
      </c>
      <c r="E152" s="11" t="str">
        <f>Compilation!I118</f>
        <v>(SS) Rt 191/ Lake Ariel Hwy</v>
      </c>
      <c r="F152" s="32"/>
      <c r="G152" s="45">
        <f>Compilation!J118</f>
      </c>
      <c r="H152" s="3">
        <f t="shared" si="15"/>
      </c>
      <c r="I152" s="3">
        <f t="shared" si="18"/>
        <v>5</v>
      </c>
      <c r="J152" s="12">
        <f>IF(ISNUMBER(FIND("Controle",H152)),MATCH(H152,Controle!B:B,0),"")</f>
      </c>
      <c r="K152" s="7">
        <f t="shared" si="19"/>
        <v>139.2</v>
      </c>
      <c r="L152" s="7" t="str">
        <f t="shared" si="16"/>
        <v>(SS) Rt 191/ Lake Ariel Hwy</v>
      </c>
      <c r="M152" s="13"/>
    </row>
    <row r="153" spans="1:13" ht="33">
      <c r="A153" s="9">
        <f>Compilation!E119</f>
        <v>173.2</v>
      </c>
      <c r="B153" s="9">
        <f t="shared" si="14"/>
        <v>34</v>
      </c>
      <c r="C153" s="9">
        <f t="shared" si="17"/>
        <v>0.5999999999999943</v>
      </c>
      <c r="D153" s="10" t="str">
        <f>TRIM(Compilation!F119)</f>
        <v>***R</v>
      </c>
      <c r="E153" s="11" t="str">
        <f>Compilation!I119</f>
        <v>Middle Creek Rd / Rt 3024 (on slight downhill)</v>
      </c>
      <c r="F153" s="32"/>
      <c r="G153" s="45">
        <f>Compilation!J119</f>
      </c>
      <c r="H153" s="3">
        <f t="shared" si="15"/>
      </c>
      <c r="I153" s="3">
        <f t="shared" si="18"/>
        <v>5</v>
      </c>
      <c r="J153" s="12">
        <f>IF(ISNUMBER(FIND("Controle",H153)),MATCH(H153,Controle!B:B,0),"")</f>
      </c>
      <c r="K153" s="7">
        <f t="shared" si="19"/>
        <v>139.2</v>
      </c>
      <c r="L153" s="7" t="str">
        <f t="shared" si="16"/>
        <v>Middle Creek Rd / Rt 3024 (on slight downhill)</v>
      </c>
      <c r="M153" s="13"/>
    </row>
    <row r="154" spans="1:13" ht="33">
      <c r="A154" s="9">
        <f>Compilation!E120</f>
        <v>176.8</v>
      </c>
      <c r="B154" s="9">
        <f t="shared" si="14"/>
        <v>37.60000000000002</v>
      </c>
      <c r="C154" s="9">
        <f t="shared" si="17"/>
        <v>3.6000000000000227</v>
      </c>
      <c r="D154" s="10" t="str">
        <f>TRIM(Compilation!F120)</f>
        <v>Pass</v>
      </c>
      <c r="E154" s="11" t="str">
        <f>Compilation!I120</f>
        <v>Old Gravity Rd on left (now on Tannery Rd / Rt 3024)</v>
      </c>
      <c r="F154" s="32"/>
      <c r="G154" s="45">
        <f>Compilation!J120</f>
      </c>
      <c r="H154" s="3">
        <f t="shared" si="15"/>
      </c>
      <c r="I154" s="3">
        <f t="shared" si="18"/>
        <v>5</v>
      </c>
      <c r="J154" s="12">
        <f>IF(ISNUMBER(FIND("Controle",H154)),MATCH(H154,Controle!B:B,0),"")</f>
      </c>
      <c r="K154" s="7">
        <f t="shared" si="19"/>
        <v>139.2</v>
      </c>
      <c r="L154" s="7" t="str">
        <f t="shared" si="16"/>
        <v>Old Gravity Rd on left (now on Tannery Rd / Rt 3024)</v>
      </c>
      <c r="M154" s="13"/>
    </row>
    <row r="155" spans="1:13" ht="16.5">
      <c r="A155" s="9">
        <f>Compilation!E121</f>
        <v>179.9</v>
      </c>
      <c r="B155" s="9">
        <f t="shared" si="14"/>
        <v>40.70000000000002</v>
      </c>
      <c r="C155" s="9">
        <f t="shared" si="17"/>
        <v>3.0999999999999943</v>
      </c>
      <c r="D155" s="10" t="str">
        <f>TRIM(Compilation!F121)</f>
        <v>T R</v>
      </c>
      <c r="E155" s="11" t="str">
        <f>Compilation!I121</f>
        <v>(SS) Rt 296 / Gravity Rd</v>
      </c>
      <c r="F155" s="32"/>
      <c r="G155" s="45">
        <f>Compilation!J121</f>
      </c>
      <c r="H155" s="3">
        <f t="shared" si="15"/>
      </c>
      <c r="I155" s="3">
        <f t="shared" si="18"/>
        <v>5</v>
      </c>
      <c r="J155" s="12">
        <f>IF(ISNUMBER(FIND("Controle",H155)),MATCH(H155,Controle!B:B,0),"")</f>
      </c>
      <c r="K155" s="7">
        <f t="shared" si="19"/>
        <v>139.2</v>
      </c>
      <c r="L155" s="7" t="str">
        <f t="shared" si="16"/>
        <v>(SS) Rt 296 / Gravity Rd</v>
      </c>
      <c r="M155" s="13"/>
    </row>
    <row r="156" spans="1:13" ht="16.5">
      <c r="A156" s="9">
        <f>Compilation!E122</f>
        <v>180.2</v>
      </c>
      <c r="B156" s="9">
        <f t="shared" si="14"/>
        <v>41</v>
      </c>
      <c r="C156" s="9">
        <f t="shared" si="17"/>
        <v>0.29999999999998295</v>
      </c>
      <c r="D156" s="10" t="str">
        <f>TRIM(Compilation!F122)</f>
        <v>T R</v>
      </c>
      <c r="E156" s="11" t="str">
        <f>Compilation!I122</f>
        <v>(SS) TRO Rt 296 North</v>
      </c>
      <c r="F156" s="32"/>
      <c r="G156" s="45">
        <f>Compilation!J122</f>
      </c>
      <c r="H156" s="3">
        <f t="shared" si="15"/>
      </c>
      <c r="I156" s="3">
        <f t="shared" si="18"/>
        <v>5</v>
      </c>
      <c r="J156" s="12">
        <f>IF(ISNUMBER(FIND("Controle",H156)),MATCH(H156,Controle!B:B,0),"")</f>
      </c>
      <c r="K156" s="7">
        <f t="shared" si="19"/>
        <v>139.2</v>
      </c>
      <c r="L156" s="7" t="str">
        <f t="shared" si="16"/>
        <v>(SS) TRO Rt 296 North</v>
      </c>
      <c r="M156" s="13"/>
    </row>
    <row r="157" spans="1:13" ht="33">
      <c r="A157" s="9">
        <f>Compilation!E123</f>
        <v>182.1</v>
      </c>
      <c r="B157" s="9">
        <f t="shared" si="14"/>
        <v>42.900000000000006</v>
      </c>
      <c r="C157" s="9">
        <f t="shared" si="17"/>
        <v>1.9000000000000057</v>
      </c>
      <c r="D157" s="10" t="str">
        <f>TRIM(Compilation!F123)</f>
        <v>L</v>
      </c>
      <c r="E157" s="11" t="str">
        <f>Compilation!I123</f>
        <v>Cortez Rd (Saint Tikhons on right) ("Citgo" on left)</v>
      </c>
      <c r="F157" s="32"/>
      <c r="G157" s="45" t="str">
        <f>Compilation!J123</f>
        <v>MiniMart</v>
      </c>
      <c r="H157" s="3">
        <f t="shared" si="15"/>
      </c>
      <c r="I157" s="3">
        <f t="shared" si="18"/>
        <v>5</v>
      </c>
      <c r="J157" s="12">
        <f>IF(ISNUMBER(FIND("Controle",H157)),MATCH(H157,Controle!B:B,0),"")</f>
      </c>
      <c r="K157" s="7">
        <f t="shared" si="19"/>
        <v>139.2</v>
      </c>
      <c r="L157" s="7" t="str">
        <f t="shared" si="16"/>
        <v>Cortez Rd (Saint Tikhons on right) ("Citgo" on left)</v>
      </c>
      <c r="M157" s="13"/>
    </row>
    <row r="158" spans="1:13" ht="33">
      <c r="A158" s="9">
        <f>Compilation!E124</f>
        <v>182.4</v>
      </c>
      <c r="B158" s="9">
        <f t="shared" si="14"/>
        <v>43.20000000000002</v>
      </c>
      <c r="C158" s="9">
        <f t="shared" si="17"/>
        <v>0.30000000000001137</v>
      </c>
      <c r="D158" s="10" t="str">
        <f>TRIM(Compilation!F124)</f>
        <v>1st R</v>
      </c>
      <c r="E158" s="11" t="str">
        <f>Compilation!I124</f>
        <v>Lake Quinn Rd / Rt 3020 (sign hidden)</v>
      </c>
      <c r="F158" s="32"/>
      <c r="G158" s="45">
        <f>Compilation!J124</f>
      </c>
      <c r="H158" s="3">
        <f t="shared" si="15"/>
      </c>
      <c r="I158" s="3">
        <f t="shared" si="18"/>
        <v>5</v>
      </c>
      <c r="J158" s="12">
        <f>IF(ISNUMBER(FIND("Controle",H158)),MATCH(H158,Controle!B:B,0),"")</f>
      </c>
      <c r="K158" s="7">
        <f t="shared" si="19"/>
        <v>139.2</v>
      </c>
      <c r="L158" s="7" t="str">
        <f t="shared" si="16"/>
        <v>Lake Quinn Rd / Rt 3020 (sign hidden)</v>
      </c>
      <c r="M158" s="13"/>
    </row>
    <row r="159" spans="1:13" ht="49.5">
      <c r="A159" s="9">
        <f>Compilation!E125</f>
        <v>184.1</v>
      </c>
      <c r="B159" s="9">
        <f t="shared" si="14"/>
        <v>44.900000000000006</v>
      </c>
      <c r="C159" s="9">
        <f t="shared" si="17"/>
        <v>1.6999999999999886</v>
      </c>
      <c r="D159" s="10" t="str">
        <f>TRIM(Compilation!F125)</f>
        <v>B L</v>
      </c>
      <c r="E159" s="11" t="str">
        <f>Compilation!I125</f>
        <v>Rt 3022 / Jubinske / Salem Rd (Rt 3020 ends at bend) (b/c Rt 1019 ahead)</v>
      </c>
      <c r="F159" s="32"/>
      <c r="G159" s="45">
        <f>Compilation!J125</f>
      </c>
      <c r="H159" s="3">
        <f t="shared" si="15"/>
      </c>
      <c r="I159" s="3">
        <f t="shared" si="18"/>
        <v>5</v>
      </c>
      <c r="J159" s="12">
        <f>IF(ISNUMBER(FIND("Controle",H159)),MATCH(H159,Controle!B:B,0),"")</f>
      </c>
      <c r="K159" s="7">
        <f t="shared" si="19"/>
        <v>139.2</v>
      </c>
      <c r="L159" s="7" t="str">
        <f t="shared" si="16"/>
        <v>Rt 3022 / Jubinske / Salem Rd (Rt 3020 ends at bend) (b/c Rt 1019 ahead)</v>
      </c>
      <c r="M159" s="13"/>
    </row>
    <row r="160" spans="1:13" ht="49.5">
      <c r="A160" s="9">
        <f>Compilation!E126</f>
        <v>186.7</v>
      </c>
      <c r="B160" s="9">
        <f t="shared" si="14"/>
        <v>47.5</v>
      </c>
      <c r="C160" s="9">
        <f t="shared" si="17"/>
        <v>2.5999999999999943</v>
      </c>
      <c r="D160" s="10" t="str">
        <f>TRIM(Compilation!F126)</f>
        <v>Pass</v>
      </c>
      <c r="E160" s="11" t="str">
        <f>Compilation!I126</f>
        <v>Highest point on route (El. 2164') Caution on steep twisty descent</v>
      </c>
      <c r="F160" s="32"/>
      <c r="G160" s="45">
        <f>Compilation!J126</f>
      </c>
      <c r="H160" s="3">
        <f t="shared" si="15"/>
      </c>
      <c r="I160" s="3">
        <f t="shared" si="18"/>
        <v>5</v>
      </c>
      <c r="J160" s="12">
        <f>IF(ISNUMBER(FIND("Controle",H160)),MATCH(H160,Controle!B:B,0),"")</f>
      </c>
      <c r="K160" s="7">
        <f t="shared" si="19"/>
        <v>139.2</v>
      </c>
      <c r="L160" s="7" t="str">
        <f t="shared" si="16"/>
        <v>Highest point on route (El. 2164') Caution on steep twisty descent</v>
      </c>
      <c r="M160" s="13"/>
    </row>
    <row r="161" spans="1:13" ht="49.5">
      <c r="A161" s="9">
        <f>Compilation!E127</f>
        <v>188.9</v>
      </c>
      <c r="B161" s="9">
        <f t="shared" si="14"/>
        <v>49.70000000000002</v>
      </c>
      <c r="C161" s="9">
        <f t="shared" si="17"/>
        <v>2.200000000000017</v>
      </c>
      <c r="D161" s="10" t="str">
        <f>TRIM(Compilation!F127)</f>
        <v>Pass</v>
      </c>
      <c r="E161" s="11" t="str">
        <f>Compilation!I127</f>
        <v>Carbondale city limit (now on Wayne St) Steep descent ahead</v>
      </c>
      <c r="F161" s="32"/>
      <c r="G161" s="45">
        <f>Compilation!J127</f>
      </c>
      <c r="H161" s="3">
        <f t="shared" si="15"/>
      </c>
      <c r="I161" s="3">
        <f t="shared" si="18"/>
        <v>5</v>
      </c>
      <c r="J161" s="12">
        <f>IF(ISNUMBER(FIND("Controle",H161)),MATCH(H161,Controle!B:B,0),"")</f>
      </c>
      <c r="K161" s="7">
        <f t="shared" si="19"/>
        <v>139.2</v>
      </c>
      <c r="L161" s="7" t="str">
        <f t="shared" si="16"/>
        <v>Carbondale city limit (now on Wayne St) Steep descent ahead</v>
      </c>
      <c r="M161" s="13"/>
    </row>
    <row r="162" spans="1:13" ht="16.5">
      <c r="A162" s="9">
        <f>Compilation!E128</f>
        <v>189.7</v>
      </c>
      <c r="B162" s="9">
        <f t="shared" si="14"/>
        <v>50.5</v>
      </c>
      <c r="C162" s="9">
        <f t="shared" si="17"/>
        <v>0.799999999999983</v>
      </c>
      <c r="D162" s="10" t="str">
        <f>TRIM(Compilation!F128)</f>
        <v>L</v>
      </c>
      <c r="E162" s="11" t="str">
        <f>Compilation!I128</f>
        <v>7th Ave</v>
      </c>
      <c r="F162" s="32"/>
      <c r="G162" s="45">
        <f>Compilation!J128</f>
      </c>
      <c r="H162" s="3">
        <f t="shared" si="15"/>
      </c>
      <c r="I162" s="3">
        <f t="shared" si="18"/>
        <v>5</v>
      </c>
      <c r="J162" s="12">
        <f>IF(ISNUMBER(FIND("Controle",H162)),MATCH(H162,Controle!B:B,0),"")</f>
      </c>
      <c r="K162" s="7">
        <f t="shared" si="19"/>
        <v>139.2</v>
      </c>
      <c r="L162" s="7" t="str">
        <f t="shared" si="16"/>
        <v>7th Ave</v>
      </c>
      <c r="M162" s="13"/>
    </row>
    <row r="163" spans="1:13" ht="33.75" thickBot="1">
      <c r="A163" s="9">
        <f>Compilation!E129</f>
        <v>190.1</v>
      </c>
      <c r="B163" s="9">
        <f t="shared" si="14"/>
        <v>50.900000000000006</v>
      </c>
      <c r="C163" s="9">
        <f t="shared" si="17"/>
        <v>0.4000000000000057</v>
      </c>
      <c r="D163" s="10" t="str">
        <f>TRIM(Compilation!F129)</f>
        <v>STOP</v>
      </c>
      <c r="E163" s="11" t="str">
        <f>Compilation!I129</f>
        <v>Controle Dunkin' Donuts (TFL) at 7th Ave / Main St junction</v>
      </c>
      <c r="F163" s="32"/>
      <c r="G163" s="45">
        <f>Compilation!J129</f>
      </c>
      <c r="H163" s="3" t="str">
        <f t="shared" si="15"/>
        <v>Controle 6</v>
      </c>
      <c r="I163" s="3">
        <f t="shared" si="18"/>
        <v>6</v>
      </c>
      <c r="J163" s="12">
        <f>IF(ISNUMBER(FIND("Controle",H163)),MATCH(H163,Controle!B:B,0),"")</f>
        <v>18</v>
      </c>
      <c r="K163" s="7">
        <f t="shared" si="19"/>
        <v>139.2</v>
      </c>
      <c r="L163" s="7" t="str">
        <f t="shared" si="16"/>
        <v>Controle Dunkin' Donuts (TFL) at 7th Ave / Main St junction</v>
      </c>
      <c r="M163" s="13"/>
    </row>
    <row r="164" spans="1:12" ht="16.5">
      <c r="A164" s="53" t="str">
        <f>INDEX(Controle!H:H,Cue!J163)&amp;" "</f>
        <v>Controle 6 Dunkin Donuts (570) 282-3364 </v>
      </c>
      <c r="B164" s="54"/>
      <c r="C164" s="54"/>
      <c r="D164" s="54"/>
      <c r="E164" s="55"/>
      <c r="F164" s="30"/>
      <c r="G164" s="43"/>
      <c r="H164" s="3">
        <f>IF(ISNUMBER(FIND("Controle",E164)),LEFT(E164,FIND(" ",E164,10)-1),"")</f>
      </c>
      <c r="I164" s="3">
        <f>IF(LEFT(E164,8)="Controle",I163+1,I163)</f>
        <v>6</v>
      </c>
      <c r="J164" s="12">
        <f>IF(ISNUMBER(FIND("Controle",H164)),MATCH(H164,Controle!B:B,0),"")</f>
      </c>
      <c r="K164" s="7">
        <f>IF(B163="Leg",A164,K163)</f>
        <v>139.2</v>
      </c>
      <c r="L164" s="7">
        <f>E164</f>
        <v>0</v>
      </c>
    </row>
    <row r="165" spans="1:12" ht="16.5">
      <c r="A165" s="50" t="str">
        <f>INDEX(Controle!H:H,Cue!J163+1)&amp;" "</f>
        <v>40 S. Main St., Carbondale, PA </v>
      </c>
      <c r="B165" s="51"/>
      <c r="C165" s="51"/>
      <c r="D165" s="51"/>
      <c r="E165" s="52"/>
      <c r="F165" s="30"/>
      <c r="G165" s="43"/>
      <c r="H165" s="3">
        <f>IF(ISNUMBER(FIND("Controle",E165)),LEFT(E165,FIND(" ",E165,10)-1),"")</f>
      </c>
      <c r="I165" s="3">
        <f>IF(LEFT(E165,8)="Controle",I164+1,I164)</f>
        <v>6</v>
      </c>
      <c r="J165" s="12">
        <f>IF(ISNUMBER(FIND("Controle",H165)),MATCH(H165,Controle!B:B,0),"")</f>
      </c>
      <c r="K165" s="7">
        <f>IF(B164="Leg",A165,K164)</f>
        <v>139.2</v>
      </c>
      <c r="L165" s="7">
        <f>E165</f>
        <v>0</v>
      </c>
    </row>
    <row r="166" spans="1:13" ht="17.25" thickBot="1">
      <c r="A166" s="47" t="str">
        <f>INDEX(Controle!H:H,Cue!J163+2)&amp;" "</f>
        <v>open: 08/08 13:12  close: 08/09 00:24 </v>
      </c>
      <c r="B166" s="48"/>
      <c r="C166" s="48"/>
      <c r="D166" s="48"/>
      <c r="E166" s="49"/>
      <c r="F166" s="31"/>
      <c r="G166" s="44"/>
      <c r="H166" s="3">
        <f>IF(ISNUMBER(FIND("Controle",E166)),LEFT(E166,FIND(" ",E166,10)-1),"")</f>
      </c>
      <c r="I166" s="3">
        <f>IF(LEFT(E166,8)="Controle",I165+1,I165)</f>
        <v>6</v>
      </c>
      <c r="J166" s="12">
        <f>IF(ISNUMBER(FIND("Controle",H166)),MATCH(H166,Controle!B:B,0),"")</f>
      </c>
      <c r="K166" s="7">
        <f>IF(B165="Leg",A166,K165)</f>
        <v>139.2</v>
      </c>
      <c r="L166" s="7">
        <f>E166</f>
        <v>0</v>
      </c>
      <c r="M166" s="8"/>
    </row>
    <row r="167" spans="1:13" ht="49.5">
      <c r="A167" s="9">
        <f>Compilation!E130</f>
        <v>190.1</v>
      </c>
      <c r="B167" s="9">
        <f t="shared" si="14"/>
        <v>0</v>
      </c>
      <c r="C167" s="9">
        <f>A167-A163</f>
        <v>0</v>
      </c>
      <c r="D167" s="10" t="str">
        <f>TRIM(Compilation!F130)</f>
        <v>Continue</v>
      </c>
      <c r="E167" s="11" t="str">
        <f>Compilation!I130</f>
        <v>Leave controle turning right out of 7th Ave exit (continuing same direction)</v>
      </c>
      <c r="F167" s="32"/>
      <c r="G167" s="45">
        <f>Compilation!J130</f>
      </c>
      <c r="H167" s="3">
        <f t="shared" si="15"/>
      </c>
      <c r="I167" s="3">
        <f>IF(LEFT(E167,8)="Controle",I163+1,I163)</f>
        <v>6</v>
      </c>
      <c r="J167" s="12">
        <f>IF(ISNUMBER(FIND("Controle",H167)),MATCH(H167,Controle!B:B,0),"")</f>
      </c>
      <c r="K167" s="7">
        <f>IF(H163&lt;&gt;"",A167,K163)</f>
        <v>190.1</v>
      </c>
      <c r="L167" s="7" t="str">
        <f t="shared" si="16"/>
        <v>Leave controle turning right out of 7th Ave exit (continuing same direction)</v>
      </c>
      <c r="M167" s="13"/>
    </row>
    <row r="168" spans="1:13" ht="16.5">
      <c r="A168" s="9">
        <f>Compilation!E131</f>
        <v>190.1</v>
      </c>
      <c r="B168" s="9">
        <f t="shared" si="14"/>
        <v>0</v>
      </c>
      <c r="C168" s="9">
        <f t="shared" si="17"/>
        <v>0</v>
      </c>
      <c r="D168" s="10" t="str">
        <f>TRIM(Compilation!F131)</f>
        <v>1st R</v>
      </c>
      <c r="E168" s="11" t="str">
        <f>Compilation!I131</f>
        <v>(SS) River St </v>
      </c>
      <c r="F168" s="32"/>
      <c r="G168" s="45">
        <f>Compilation!J131</f>
      </c>
      <c r="H168" s="3">
        <f t="shared" si="15"/>
      </c>
      <c r="I168" s="3">
        <f t="shared" si="18"/>
        <v>6</v>
      </c>
      <c r="J168" s="12">
        <f>IF(ISNUMBER(FIND("Controle",H168)),MATCH(H168,Controle!B:B,0),"")</f>
      </c>
      <c r="K168" s="7">
        <f t="shared" si="19"/>
        <v>190.1</v>
      </c>
      <c r="L168" s="7" t="str">
        <f t="shared" si="16"/>
        <v>(SS) River St </v>
      </c>
      <c r="M168" s="13"/>
    </row>
    <row r="169" spans="1:13" ht="33">
      <c r="A169" s="9">
        <f>Compilation!E132</f>
        <v>190.4</v>
      </c>
      <c r="B169" s="9">
        <f t="shared" si="14"/>
        <v>0.30000000000001137</v>
      </c>
      <c r="C169" s="9">
        <f t="shared" si="17"/>
        <v>0.30000000000001137</v>
      </c>
      <c r="D169" s="10" t="str">
        <f>TRIM(Compilation!F132)</f>
        <v>Straight</v>
      </c>
      <c r="E169" s="11" t="str">
        <f>Compilation!I132</f>
        <v>(SS) Joining Rt 106 Caution: fast traffic on right does not stop </v>
      </c>
      <c r="F169" s="32"/>
      <c r="G169" s="45">
        <f>Compilation!J132</f>
      </c>
      <c r="H169" s="3">
        <f t="shared" si="15"/>
      </c>
      <c r="I169" s="3">
        <f t="shared" si="18"/>
        <v>6</v>
      </c>
      <c r="J169" s="12">
        <f>IF(ISNUMBER(FIND("Controle",H169)),MATCH(H169,Controle!B:B,0),"")</f>
      </c>
      <c r="K169" s="7">
        <f t="shared" si="19"/>
        <v>190.1</v>
      </c>
      <c r="L169" s="7" t="str">
        <f t="shared" si="16"/>
        <v>(SS) Joining Rt 106 Caution: fast traffic on right does not stop </v>
      </c>
      <c r="M169" s="13"/>
    </row>
    <row r="170" spans="1:13" ht="33">
      <c r="A170" s="9">
        <f>Compilation!E133</f>
        <v>190.6</v>
      </c>
      <c r="B170" s="9">
        <f t="shared" si="14"/>
        <v>0.5</v>
      </c>
      <c r="C170" s="9">
        <f t="shared" si="17"/>
        <v>0.19999999999998863</v>
      </c>
      <c r="D170" s="10" t="str">
        <f>TRIM(Compilation!F133)</f>
        <v>R</v>
      </c>
      <c r="E170" s="11" t="str">
        <f>Compilation!I133</f>
        <v>Dundaff St / Rt 1007 (just after RR tracks)</v>
      </c>
      <c r="F170" s="32"/>
      <c r="G170" s="45">
        <f>Compilation!J133</f>
      </c>
      <c r="H170" s="3">
        <f t="shared" si="15"/>
      </c>
      <c r="I170" s="3">
        <f t="shared" si="18"/>
        <v>6</v>
      </c>
      <c r="J170" s="12">
        <f>IF(ISNUMBER(FIND("Controle",H170)),MATCH(H170,Controle!B:B,0),"")</f>
      </c>
      <c r="K170" s="7">
        <f t="shared" si="19"/>
        <v>190.1</v>
      </c>
      <c r="L170" s="7" t="str">
        <f t="shared" si="16"/>
        <v>Dundaff St / Rt 1007 (just after RR tracks)</v>
      </c>
      <c r="M170" s="13"/>
    </row>
    <row r="171" spans="1:13" ht="33">
      <c r="A171" s="9">
        <f>Compilation!E134</f>
        <v>193.5</v>
      </c>
      <c r="B171" s="9">
        <f t="shared" si="14"/>
        <v>3.4000000000000057</v>
      </c>
      <c r="C171" s="9">
        <f t="shared" si="17"/>
        <v>2.9000000000000057</v>
      </c>
      <c r="D171" s="10" t="str">
        <f>TRIM(Compilation!F134)</f>
        <v>B L</v>
      </c>
      <c r="E171" s="11" t="str">
        <f>Compilation!I134</f>
        <v>TRO Rt 1007 / Dundaff St (at Rt 1011)</v>
      </c>
      <c r="F171" s="32"/>
      <c r="G171" s="45">
        <f>Compilation!J134</f>
      </c>
      <c r="H171" s="3">
        <f t="shared" si="15"/>
      </c>
      <c r="I171" s="3">
        <f t="shared" si="18"/>
        <v>6</v>
      </c>
      <c r="J171" s="12">
        <f>IF(ISNUMBER(FIND("Controle",H171)),MATCH(H171,Controle!B:B,0),"")</f>
      </c>
      <c r="K171" s="7">
        <f t="shared" si="19"/>
        <v>190.1</v>
      </c>
      <c r="L171" s="7" t="str">
        <f t="shared" si="16"/>
        <v>TRO Rt 1007 / Dundaff St (at Rt 1011)</v>
      </c>
      <c r="M171" s="13"/>
    </row>
    <row r="172" spans="1:13" ht="16.5">
      <c r="A172" s="9">
        <f>Compilation!E135</f>
        <v>195.5</v>
      </c>
      <c r="B172" s="9">
        <f t="shared" si="14"/>
        <v>5.400000000000006</v>
      </c>
      <c r="C172" s="9">
        <f t="shared" si="17"/>
        <v>2</v>
      </c>
      <c r="D172" s="10" t="str">
        <f>TRIM(Compilation!F135)</f>
        <v>Straight</v>
      </c>
      <c r="E172" s="11" t="str">
        <f>Compilation!I135</f>
        <v>Joining Rt 247 South</v>
      </c>
      <c r="F172" s="32"/>
      <c r="G172" s="45">
        <f>Compilation!J135</f>
      </c>
      <c r="H172" s="3">
        <f t="shared" si="15"/>
      </c>
      <c r="I172" s="3">
        <f t="shared" si="18"/>
        <v>6</v>
      </c>
      <c r="J172" s="12">
        <f>IF(ISNUMBER(FIND("Controle",H172)),MATCH(H172,Controle!B:B,0),"")</f>
      </c>
      <c r="K172" s="7">
        <f t="shared" si="19"/>
        <v>190.1</v>
      </c>
      <c r="L172" s="7" t="str">
        <f t="shared" si="16"/>
        <v>Joining Rt 247 South</v>
      </c>
      <c r="M172" s="13"/>
    </row>
    <row r="173" spans="1:13" ht="16.5">
      <c r="A173" s="9">
        <f>Compilation!E136</f>
        <v>196.9</v>
      </c>
      <c r="B173" s="9">
        <f t="shared" si="14"/>
        <v>6.800000000000011</v>
      </c>
      <c r="C173" s="9">
        <f t="shared" si="17"/>
        <v>1.4000000000000057</v>
      </c>
      <c r="D173" s="10" t="str">
        <f>TRIM(Compilation!F136)</f>
        <v>Straight</v>
      </c>
      <c r="E173" s="11" t="str">
        <f>Compilation!I136</f>
        <v>(TFL) Joining Rt 2014 [Dundaff]</v>
      </c>
      <c r="F173" s="32"/>
      <c r="G173" s="45" t="str">
        <f>Compilation!J136</f>
        <v>Store</v>
      </c>
      <c r="H173" s="3">
        <f t="shared" si="15"/>
      </c>
      <c r="I173" s="3">
        <f t="shared" si="18"/>
        <v>6</v>
      </c>
      <c r="J173" s="12">
        <f>IF(ISNUMBER(FIND("Controle",H173)),MATCH(H173,Controle!B:B,0),"")</f>
      </c>
      <c r="K173" s="7">
        <f t="shared" si="19"/>
        <v>190.1</v>
      </c>
      <c r="L173" s="7" t="str">
        <f t="shared" si="16"/>
        <v>(TFL) Joining Rt 2014 [Dundaff]</v>
      </c>
      <c r="M173" s="13"/>
    </row>
    <row r="174" spans="1:13" ht="33">
      <c r="A174" s="9">
        <f>Compilation!E137</f>
        <v>198.7</v>
      </c>
      <c r="B174" s="9">
        <f t="shared" si="14"/>
        <v>8.599999999999994</v>
      </c>
      <c r="C174" s="9">
        <f t="shared" si="17"/>
        <v>1.799999999999983</v>
      </c>
      <c r="D174" s="10" t="str">
        <f>TRIM(Compilation!F137)</f>
        <v>X</v>
      </c>
      <c r="E174" s="11" t="str">
        <f>Compilation!I137</f>
        <v>Rt 2012 CAUTION several steep twisty ROUGH descents ahead</v>
      </c>
      <c r="F174" s="32"/>
      <c r="G174" s="45">
        <f>Compilation!J137</f>
      </c>
      <c r="H174" s="3">
        <f t="shared" si="15"/>
      </c>
      <c r="I174" s="3">
        <f t="shared" si="18"/>
        <v>6</v>
      </c>
      <c r="J174" s="12">
        <f>IF(ISNUMBER(FIND("Controle",H174)),MATCH(H174,Controle!B:B,0),"")</f>
      </c>
      <c r="K174" s="7">
        <f t="shared" si="19"/>
        <v>190.1</v>
      </c>
      <c r="L174" s="7" t="str">
        <f t="shared" si="16"/>
        <v>Rt 2012 CAUTION several steep twisty ROUGH descents ahead</v>
      </c>
      <c r="M174" s="13"/>
    </row>
    <row r="175" spans="1:13" ht="33">
      <c r="A175" s="9">
        <f>Compilation!E138</f>
        <v>201.2</v>
      </c>
      <c r="B175" s="9">
        <f t="shared" si="14"/>
        <v>11.099999999999994</v>
      </c>
      <c r="C175" s="9">
        <f t="shared" si="17"/>
        <v>2.5</v>
      </c>
      <c r="D175" s="10" t="str">
        <f>TRIM(Compilation!F138)</f>
        <v>T R</v>
      </c>
      <c r="E175" s="11" t="str">
        <f>Compilation!I138</f>
        <v>(SS) Rt 106 CAUTION: Watch for BIG POTHOLES ahead </v>
      </c>
      <c r="F175" s="32"/>
      <c r="G175" s="45" t="str">
        <f>Compilation!J138</f>
        <v>MiniMart</v>
      </c>
      <c r="H175" s="3">
        <f t="shared" si="15"/>
      </c>
      <c r="I175" s="3">
        <f t="shared" si="18"/>
        <v>6</v>
      </c>
      <c r="J175" s="12">
        <f>IF(ISNUMBER(FIND("Controle",H175)),MATCH(H175,Controle!B:B,0),"")</f>
      </c>
      <c r="K175" s="7">
        <f t="shared" si="19"/>
        <v>190.1</v>
      </c>
      <c r="L175" s="7" t="str">
        <f t="shared" si="16"/>
        <v>(SS) Rt 106 CAUTION: Watch for BIG POTHOLES ahead </v>
      </c>
      <c r="M175" s="13"/>
    </row>
    <row r="176" spans="1:13" ht="16.5">
      <c r="A176" s="9">
        <f>Compilation!E139</f>
        <v>204.9</v>
      </c>
      <c r="B176" s="9">
        <f t="shared" si="14"/>
        <v>14.800000000000011</v>
      </c>
      <c r="C176" s="9">
        <f t="shared" si="17"/>
        <v>3.700000000000017</v>
      </c>
      <c r="D176" s="10" t="str">
        <f>TRIM(Compilation!F139)</f>
        <v>X</v>
      </c>
      <c r="E176" s="11" t="str">
        <f>Compilation!I139</f>
        <v>Rt 81 TRO Rt 106</v>
      </c>
      <c r="F176" s="32"/>
      <c r="G176" s="45">
        <f>Compilation!J139</f>
      </c>
      <c r="H176" s="3">
        <f t="shared" si="15"/>
      </c>
      <c r="I176" s="3">
        <f t="shared" si="18"/>
        <v>6</v>
      </c>
      <c r="J176" s="12">
        <f>IF(ISNUMBER(FIND("Controle",H176)),MATCH(H176,Controle!B:B,0),"")</f>
      </c>
      <c r="K176" s="7">
        <f t="shared" si="19"/>
        <v>190.1</v>
      </c>
      <c r="L176" s="7" t="str">
        <f t="shared" si="16"/>
        <v>Rt 81 TRO Rt 106</v>
      </c>
      <c r="M176" s="13"/>
    </row>
    <row r="177" spans="1:13" ht="33">
      <c r="A177" s="9">
        <f>Compilation!E140</f>
        <v>205.1</v>
      </c>
      <c r="B177" s="9">
        <f t="shared" si="14"/>
        <v>15</v>
      </c>
      <c r="C177" s="9">
        <f t="shared" si="17"/>
        <v>0.19999999999998863</v>
      </c>
      <c r="D177" s="10" t="str">
        <f>TRIM(Compilation!F140)</f>
        <v>R</v>
      </c>
      <c r="E177" s="11" t="str">
        <f>Compilation!I140</f>
        <v>(TFL) Rt 92 HEADS UP: Next turn follows immediately</v>
      </c>
      <c r="F177" s="32"/>
      <c r="G177" s="45">
        <f>Compilation!J140</f>
      </c>
      <c r="H177" s="3">
        <f t="shared" si="15"/>
      </c>
      <c r="I177" s="3">
        <f t="shared" si="18"/>
        <v>6</v>
      </c>
      <c r="J177" s="12">
        <f>IF(ISNUMBER(FIND("Controle",H177)),MATCH(H177,Controle!B:B,0),"")</f>
      </c>
      <c r="K177" s="7">
        <f t="shared" si="19"/>
        <v>190.1</v>
      </c>
      <c r="L177" s="7" t="str">
        <f t="shared" si="16"/>
        <v>(TFL) Rt 92 HEADS UP: Next turn follows immediately</v>
      </c>
      <c r="M177" s="13"/>
    </row>
    <row r="178" spans="1:13" ht="33">
      <c r="A178" s="9">
        <f>Compilation!E141</f>
        <v>205.2</v>
      </c>
      <c r="B178" s="9">
        <f t="shared" si="14"/>
        <v>15.099999999999994</v>
      </c>
      <c r="C178" s="9">
        <f t="shared" si="17"/>
        <v>0.09999999999999432</v>
      </c>
      <c r="D178" s="10" t="str">
        <f>TRIM(Compilation!F141)</f>
        <v>***Q L</v>
      </c>
      <c r="E178" s="11" t="str">
        <f>Compilation!I141</f>
        <v>Rt 2063 / Creek Rd (look for Hartford 5 sign) </v>
      </c>
      <c r="F178" s="32"/>
      <c r="G178" s="45" t="str">
        <f>Compilation!J141</f>
        <v>MiniMart Restaurant</v>
      </c>
      <c r="H178" s="3">
        <f t="shared" si="15"/>
      </c>
      <c r="I178" s="3">
        <f t="shared" si="18"/>
        <v>6</v>
      </c>
      <c r="J178" s="12">
        <f>IF(ISNUMBER(FIND("Controle",H178)),MATCH(H178,Controle!B:B,0),"")</f>
      </c>
      <c r="K178" s="7">
        <f t="shared" si="19"/>
        <v>190.1</v>
      </c>
      <c r="L178" s="7" t="str">
        <f t="shared" si="16"/>
        <v>Rt 2063 / Creek Rd (look for Hartford 5 sign) </v>
      </c>
      <c r="M178" s="13"/>
    </row>
    <row r="179" spans="1:13" ht="16.5">
      <c r="A179" s="9">
        <f>Compilation!E142</f>
        <v>210.3</v>
      </c>
      <c r="B179" s="9">
        <f t="shared" si="14"/>
        <v>20.200000000000017</v>
      </c>
      <c r="C179" s="9">
        <f t="shared" si="17"/>
        <v>5.100000000000023</v>
      </c>
      <c r="D179" s="10" t="str">
        <f>TRIM(Compilation!F142)</f>
        <v>B R</v>
      </c>
      <c r="E179" s="11" t="str">
        <f>Compilation!I142</f>
        <v>Joining Rt 547 North [Hartford]</v>
      </c>
      <c r="F179" s="32"/>
      <c r="G179" s="45">
        <f>Compilation!J142</f>
      </c>
      <c r="H179" s="3">
        <f t="shared" si="15"/>
      </c>
      <c r="I179" s="3">
        <f t="shared" si="18"/>
        <v>6</v>
      </c>
      <c r="J179" s="12">
        <f>IF(ISNUMBER(FIND("Controle",H179)),MATCH(H179,Controle!B:B,0),"")</f>
      </c>
      <c r="K179" s="7">
        <f t="shared" si="19"/>
        <v>190.1</v>
      </c>
      <c r="L179" s="7" t="str">
        <f t="shared" si="16"/>
        <v>Joining Rt 547 North [Hartford]</v>
      </c>
      <c r="M179" s="13"/>
    </row>
    <row r="180" spans="1:13" ht="33">
      <c r="A180" s="9">
        <f>Compilation!E143</f>
        <v>210.5</v>
      </c>
      <c r="B180" s="9">
        <f t="shared" si="14"/>
        <v>20.400000000000006</v>
      </c>
      <c r="C180" s="9">
        <f t="shared" si="17"/>
        <v>0.19999999999998863</v>
      </c>
      <c r="D180" s="10" t="str">
        <f>TRIM(Compilation!F143)</f>
        <v>Straight</v>
      </c>
      <c r="E180" s="11" t="str">
        <f>Compilation!I143</f>
        <v>Rt 2063 / Fair Hill Rd (leaving Rt 547 which goes right)</v>
      </c>
      <c r="F180" s="32"/>
      <c r="G180" s="45">
        <f>Compilation!J143</f>
      </c>
      <c r="H180" s="3">
        <f t="shared" si="15"/>
      </c>
      <c r="I180" s="3">
        <f t="shared" si="18"/>
        <v>6</v>
      </c>
      <c r="J180" s="12">
        <f>IF(ISNUMBER(FIND("Controle",H180)),MATCH(H180,Controle!B:B,0),"")</f>
      </c>
      <c r="K180" s="7">
        <f t="shared" si="19"/>
        <v>190.1</v>
      </c>
      <c r="L180" s="7" t="str">
        <f t="shared" si="16"/>
        <v>Rt 2063 / Fair Hill Rd (leaving Rt 547 which goes right)</v>
      </c>
      <c r="M180" s="13"/>
    </row>
    <row r="181" spans="1:13" ht="16.5">
      <c r="A181" s="9">
        <f>Compilation!E144</f>
        <v>215</v>
      </c>
      <c r="B181" s="9">
        <f t="shared" si="14"/>
        <v>24.900000000000006</v>
      </c>
      <c r="C181" s="9">
        <f t="shared" si="17"/>
        <v>4.5</v>
      </c>
      <c r="D181" s="10" t="str">
        <f>TRIM(Compilation!F144)</f>
        <v>Straight</v>
      </c>
      <c r="E181" s="11" t="str">
        <f>Compilation!I144</f>
        <v>(SS) Joining Rt 848 West</v>
      </c>
      <c r="F181" s="32"/>
      <c r="G181" s="45">
        <f>Compilation!J144</f>
      </c>
      <c r="H181" s="3">
        <f t="shared" si="15"/>
      </c>
      <c r="I181" s="3">
        <f t="shared" si="18"/>
        <v>6</v>
      </c>
      <c r="J181" s="12">
        <f>IF(ISNUMBER(FIND("Controle",H181)),MATCH(H181,Controle!B:B,0),"")</f>
      </c>
      <c r="K181" s="7">
        <f t="shared" si="19"/>
        <v>190.1</v>
      </c>
      <c r="L181" s="7" t="str">
        <f t="shared" si="16"/>
        <v>(SS) Joining Rt 848 West</v>
      </c>
      <c r="M181" s="13"/>
    </row>
    <row r="182" spans="1:13" ht="16.5">
      <c r="A182" s="9">
        <f>Compilation!E145</f>
        <v>217.2</v>
      </c>
      <c r="B182" s="9">
        <f t="shared" si="14"/>
        <v>27.099999999999994</v>
      </c>
      <c r="C182" s="9">
        <f t="shared" si="17"/>
        <v>2.1999999999999886</v>
      </c>
      <c r="D182" s="10" t="str">
        <f>TRIM(Compilation!F145)</f>
        <v>T R</v>
      </c>
      <c r="E182" s="11" t="str">
        <f>Compilation!I145</f>
        <v>(SS) Rt 11 [New Milford] </v>
      </c>
      <c r="F182" s="32"/>
      <c r="G182" s="45" t="str">
        <f>Compilation!J145</f>
        <v>MiniMart</v>
      </c>
      <c r="H182" s="3">
        <f t="shared" si="15"/>
      </c>
      <c r="I182" s="3">
        <f t="shared" si="18"/>
        <v>6</v>
      </c>
      <c r="J182" s="12">
        <f>IF(ISNUMBER(FIND("Controle",H182)),MATCH(H182,Controle!B:B,0),"")</f>
      </c>
      <c r="K182" s="7">
        <f t="shared" si="19"/>
        <v>190.1</v>
      </c>
      <c r="L182" s="7" t="str">
        <f t="shared" si="16"/>
        <v>(SS) Rt 11 [New Milford] </v>
      </c>
      <c r="M182" s="13"/>
    </row>
    <row r="183" spans="1:13" ht="33">
      <c r="A183" s="9">
        <f>Compilation!E146</f>
        <v>218.2</v>
      </c>
      <c r="B183" s="9">
        <f t="shared" si="14"/>
        <v>28.099999999999994</v>
      </c>
      <c r="C183" s="9">
        <f t="shared" si="17"/>
        <v>1</v>
      </c>
      <c r="D183" s="10" t="str">
        <f>TRIM(Compilation!F146)</f>
        <v>Pass</v>
      </c>
      <c r="E183" s="11" t="str">
        <f>Compilation!I146</f>
        <v>New Milford city limit (road becomes 3-lane hwy)</v>
      </c>
      <c r="F183" s="32"/>
      <c r="G183" s="45">
        <f>Compilation!J146</f>
      </c>
      <c r="H183" s="3">
        <f t="shared" si="15"/>
      </c>
      <c r="I183" s="3">
        <f t="shared" si="18"/>
        <v>6</v>
      </c>
      <c r="J183" s="12">
        <f>IF(ISNUMBER(FIND("Controle",H183)),MATCH(H183,Controle!B:B,0),"")</f>
      </c>
      <c r="K183" s="7">
        <f t="shared" si="19"/>
        <v>190.1</v>
      </c>
      <c r="L183" s="7" t="str">
        <f t="shared" si="16"/>
        <v>New Milford city limit (road becomes 3-lane hwy)</v>
      </c>
      <c r="M183" s="13"/>
    </row>
    <row r="184" spans="1:13" ht="33">
      <c r="A184" s="9">
        <f>Compilation!E147</f>
        <v>219</v>
      </c>
      <c r="B184" s="9">
        <f t="shared" si="14"/>
        <v>28.900000000000006</v>
      </c>
      <c r="C184" s="9">
        <f t="shared" si="17"/>
        <v>0.8000000000000114</v>
      </c>
      <c r="D184" s="10" t="str">
        <f>TRIM(Compilation!F147)</f>
        <v>***1st L</v>
      </c>
      <c r="E184" s="11" t="str">
        <f>Compilation!I147</f>
        <v>Rt 1018 / Old Rt 11 (Look for "To 81" sign on right)</v>
      </c>
      <c r="F184" s="32"/>
      <c r="G184" s="45">
        <f>Compilation!J147</f>
      </c>
      <c r="H184" s="3">
        <f t="shared" si="15"/>
      </c>
      <c r="I184" s="3">
        <f t="shared" si="18"/>
        <v>6</v>
      </c>
      <c r="J184" s="12">
        <f>IF(ISNUMBER(FIND("Controle",H184)),MATCH(H184,Controle!B:B,0),"")</f>
      </c>
      <c r="K184" s="7">
        <f t="shared" si="19"/>
        <v>190.1</v>
      </c>
      <c r="L184" s="7" t="str">
        <f t="shared" si="16"/>
        <v>Rt 1018 / Old Rt 11 (Look for "To 81" sign on right)</v>
      </c>
      <c r="M184" s="13"/>
    </row>
    <row r="185" spans="1:13" ht="33">
      <c r="A185" s="9">
        <f>Compilation!E148</f>
        <v>223</v>
      </c>
      <c r="B185" s="9">
        <f t="shared" si="14"/>
        <v>32.900000000000006</v>
      </c>
      <c r="C185" s="9">
        <f t="shared" si="17"/>
        <v>4</v>
      </c>
      <c r="D185" s="10" t="str">
        <f>TRIM(Compilation!F148)</f>
        <v>B L</v>
      </c>
      <c r="E185" s="11" t="str">
        <f>Compilation!I148</f>
        <v>(SS) Joining Main St / Rt 11 [Hallstead]</v>
      </c>
      <c r="F185" s="32"/>
      <c r="G185" s="45">
        <f>Compilation!J148</f>
      </c>
      <c r="H185" s="3">
        <f t="shared" si="15"/>
      </c>
      <c r="I185" s="3">
        <f t="shared" si="18"/>
        <v>6</v>
      </c>
      <c r="J185" s="12">
        <f>IF(ISNUMBER(FIND("Controle",H185)),MATCH(H185,Controle!B:B,0),"")</f>
      </c>
      <c r="K185" s="7">
        <f t="shared" si="19"/>
        <v>190.1</v>
      </c>
      <c r="L185" s="7" t="str">
        <f t="shared" si="16"/>
        <v>(SS) Joining Main St / Rt 11 [Hallstead]</v>
      </c>
      <c r="M185" s="13"/>
    </row>
    <row r="186" spans="1:13" ht="33">
      <c r="A186" s="9">
        <f>Compilation!E149</f>
        <v>223.8</v>
      </c>
      <c r="B186" s="9">
        <f t="shared" si="14"/>
        <v>33.70000000000002</v>
      </c>
      <c r="C186" s="9">
        <f t="shared" si="17"/>
        <v>0.8000000000000114</v>
      </c>
      <c r="D186" s="10" t="str">
        <f>TRIM(Compilation!F149)</f>
        <v>X</v>
      </c>
      <c r="E186" s="11" t="str">
        <f>Compilation!I149</f>
        <v>Susquehanna River bridge TRO Rt 11 [Hallstead]</v>
      </c>
      <c r="F186" s="32"/>
      <c r="G186" s="45">
        <f>Compilation!J149</f>
      </c>
      <c r="H186" s="3">
        <f t="shared" si="15"/>
      </c>
      <c r="I186" s="3">
        <f t="shared" si="18"/>
        <v>6</v>
      </c>
      <c r="J186" s="12">
        <f>IF(ISNUMBER(FIND("Controle",H186)),MATCH(H186,Controle!B:B,0),"")</f>
      </c>
      <c r="K186" s="7">
        <f t="shared" si="19"/>
        <v>190.1</v>
      </c>
      <c r="L186" s="7" t="str">
        <f t="shared" si="16"/>
        <v>Susquehanna River bridge TRO Rt 11 [Hallstead]</v>
      </c>
      <c r="M186" s="13"/>
    </row>
    <row r="187" spans="1:13" ht="50.25" thickBot="1">
      <c r="A187" s="9">
        <f>Compilation!E150</f>
        <v>224.1</v>
      </c>
      <c r="B187" s="9">
        <f t="shared" si="14"/>
        <v>34</v>
      </c>
      <c r="C187" s="9">
        <f t="shared" si="17"/>
        <v>0.29999999999998295</v>
      </c>
      <c r="D187" s="10" t="str">
        <f>TRIM(Compilation!F150)</f>
        <v>STOP</v>
      </c>
      <c r="E187" s="11" t="str">
        <f>Compilation!I150</f>
        <v>Controle Colonial Brick Inn on left at TFL near I-81 junction (Exxon on right) </v>
      </c>
      <c r="F187" s="32"/>
      <c r="G187" s="45" t="str">
        <f>Compilation!J150</f>
        <v>Stores Restaurants</v>
      </c>
      <c r="H187" s="3" t="str">
        <f t="shared" si="15"/>
        <v>Controle 7</v>
      </c>
      <c r="I187" s="3">
        <f t="shared" si="18"/>
        <v>7</v>
      </c>
      <c r="J187" s="12">
        <f>IF(ISNUMBER(FIND("Controle",H187)),MATCH(H187,Controle!B:B,0),"")</f>
        <v>21</v>
      </c>
      <c r="K187" s="7">
        <f t="shared" si="19"/>
        <v>190.1</v>
      </c>
      <c r="L187" s="7" t="str">
        <f t="shared" si="16"/>
        <v>Controle Colonial Brick Inn on left at TFL near I-81 junction (Exxon on right) </v>
      </c>
      <c r="M187" s="13"/>
    </row>
    <row r="188" spans="1:12" ht="16.5">
      <c r="A188" s="53" t="str">
        <f>INDEX(Controle!H:H,Cue!J187)&amp;" "</f>
        <v>Controle 7 Colonial Brick Inn &amp; Suites (570) 879-2162 </v>
      </c>
      <c r="B188" s="54"/>
      <c r="C188" s="54"/>
      <c r="D188" s="54"/>
      <c r="E188" s="55"/>
      <c r="F188" s="30"/>
      <c r="G188" s="43"/>
      <c r="H188" s="3">
        <f>IF(ISNUMBER(FIND("Controle",E188)),LEFT(E188,FIND(" ",E188,10)-1),"")</f>
      </c>
      <c r="I188" s="3">
        <f>IF(LEFT(E188,8)="Controle",I187+1,I187)</f>
        <v>7</v>
      </c>
      <c r="J188" s="12">
        <f>IF(ISNUMBER(FIND("Controle",H188)),MATCH(H188,Controle!B:B,0),"")</f>
      </c>
      <c r="K188" s="7">
        <f>IF(B187="Leg",A188,K187)</f>
        <v>190.1</v>
      </c>
      <c r="L188" s="7">
        <f t="shared" si="16"/>
        <v>0</v>
      </c>
    </row>
    <row r="189" spans="1:12" ht="16.5">
      <c r="A189" s="50" t="str">
        <f>INDEX(Controle!H:H,Cue!J187+1)&amp;" "</f>
        <v>Rt 11 &amp; I-81 at Exit 230, Hallstead, PA </v>
      </c>
      <c r="B189" s="51"/>
      <c r="C189" s="51"/>
      <c r="D189" s="51"/>
      <c r="E189" s="52"/>
      <c r="F189" s="30"/>
      <c r="G189" s="43"/>
      <c r="H189" s="3">
        <f>IF(ISNUMBER(FIND("Controle",E189)),LEFT(E189,FIND(" ",E189,10)-1),"")</f>
      </c>
      <c r="I189" s="3">
        <f>IF(LEFT(E189,8)="Controle",I188+1,I188)</f>
        <v>7</v>
      </c>
      <c r="J189" s="12">
        <f>IF(ISNUMBER(FIND("Controle",H189)),MATCH(H189,Controle!B:B,0),"")</f>
      </c>
      <c r="K189" s="7">
        <f>IF(B188="Leg",A189,K188)</f>
        <v>190.1</v>
      </c>
      <c r="L189" s="7">
        <f t="shared" si="16"/>
        <v>0</v>
      </c>
    </row>
    <row r="190" spans="1:13" ht="17.25" thickBot="1">
      <c r="A190" s="47" t="str">
        <f>INDEX(Controle!H:H,Cue!J187+2)&amp;" "</f>
        <v>open: 08/08 14:53  close: 08/09 04:00 </v>
      </c>
      <c r="B190" s="48"/>
      <c r="C190" s="48"/>
      <c r="D190" s="48"/>
      <c r="E190" s="49"/>
      <c r="F190" s="31"/>
      <c r="G190" s="44"/>
      <c r="H190" s="3">
        <f>IF(ISNUMBER(FIND("Controle",E190)),LEFT(E190,FIND(" ",E190,10)-1),"")</f>
      </c>
      <c r="I190" s="3">
        <f>IF(LEFT(E190,8)="Controle",I189+1,I189)</f>
        <v>7</v>
      </c>
      <c r="J190" s="12">
        <f>IF(ISNUMBER(FIND("Controle",H190)),MATCH(H190,Controle!B:B,0),"")</f>
      </c>
      <c r="K190" s="7">
        <f>IF(B189="Leg",A190,K189)</f>
        <v>190.1</v>
      </c>
      <c r="L190" s="7">
        <f t="shared" si="16"/>
        <v>0</v>
      </c>
      <c r="M190" s="8"/>
    </row>
    <row r="191" spans="1:13" ht="42.75">
      <c r="A191" s="9">
        <f>Compilation!E151</f>
        <v>224.1</v>
      </c>
      <c r="B191" s="9">
        <f t="shared" si="14"/>
        <v>0</v>
      </c>
      <c r="C191" s="9">
        <f>A191-A187</f>
        <v>0</v>
      </c>
      <c r="D191" s="10" t="str">
        <f>TRIM(Compilation!F151)</f>
        <v>Backtrack</v>
      </c>
      <c r="E191" s="11" t="str">
        <f>Compilation!I151</f>
        <v>Leave controle turning right on Rt 11 South at TFL </v>
      </c>
      <c r="F191" s="32"/>
      <c r="G191" s="45" t="str">
        <f>Compilation!J151</f>
        <v>Next controle is untimed info question</v>
      </c>
      <c r="H191" s="3">
        <f t="shared" si="15"/>
      </c>
      <c r="I191" s="3">
        <f>IF(LEFT(E191,8)="Controle",I187+1,I187)</f>
        <v>7</v>
      </c>
      <c r="J191" s="12">
        <f>IF(ISNUMBER(FIND("Controle",H191)),MATCH(H191,Controle!B:B,0),"")</f>
      </c>
      <c r="K191" s="7">
        <f>IF(H187&lt;&gt;"",A191,K187)</f>
        <v>224.1</v>
      </c>
      <c r="L191" s="7" t="str">
        <f t="shared" si="16"/>
        <v>Leave controle turning right on Rt 11 South at TFL </v>
      </c>
      <c r="M191" s="13"/>
    </row>
    <row r="192" spans="1:13" ht="33">
      <c r="A192" s="9">
        <f>Compilation!E152</f>
        <v>224.3</v>
      </c>
      <c r="B192" s="9">
        <f t="shared" si="14"/>
        <v>0.20000000000001705</v>
      </c>
      <c r="C192" s="9">
        <f t="shared" si="17"/>
        <v>0.20000000000001705</v>
      </c>
      <c r="D192" s="10" t="str">
        <f>TRIM(Compilation!F152)</f>
        <v>X</v>
      </c>
      <c r="E192" s="11" t="str">
        <f>Compilation!I152</f>
        <v>Susquehanna River bridge TRO Rt 11</v>
      </c>
      <c r="F192" s="32"/>
      <c r="G192" s="45">
        <f>Compilation!J152</f>
      </c>
      <c r="H192" s="3">
        <f t="shared" si="15"/>
      </c>
      <c r="I192" s="3">
        <f t="shared" si="18"/>
        <v>7</v>
      </c>
      <c r="J192" s="12">
        <f>IF(ISNUMBER(FIND("Controle",H192)),MATCH(H192,Controle!B:B,0),"")</f>
      </c>
      <c r="K192" s="7">
        <f t="shared" si="19"/>
        <v>224.1</v>
      </c>
      <c r="L192" s="7" t="str">
        <f t="shared" si="16"/>
        <v>Susquehanna River bridge TRO Rt 11</v>
      </c>
      <c r="M192" s="13"/>
    </row>
    <row r="193" spans="1:13" ht="16.5">
      <c r="A193" s="9">
        <f>Compilation!E153</f>
        <v>224.4</v>
      </c>
      <c r="B193" s="9">
        <f t="shared" si="14"/>
        <v>0.30000000000001137</v>
      </c>
      <c r="C193" s="9">
        <f t="shared" si="17"/>
        <v>0.09999999999999432</v>
      </c>
      <c r="D193" s="10" t="str">
        <f>TRIM(Compilation!F153)</f>
        <v>1st R</v>
      </c>
      <c r="E193" s="11" t="str">
        <f>Compilation!I153</f>
        <v>Susquehanna Ave (b/c Pine St)</v>
      </c>
      <c r="F193" s="32"/>
      <c r="G193" s="45">
        <f>Compilation!J153</f>
      </c>
      <c r="H193" s="3">
        <f t="shared" si="15"/>
      </c>
      <c r="I193" s="3">
        <f t="shared" si="18"/>
        <v>7</v>
      </c>
      <c r="J193" s="12">
        <f>IF(ISNUMBER(FIND("Controle",H193)),MATCH(H193,Controle!B:B,0),"")</f>
      </c>
      <c r="K193" s="7">
        <f t="shared" si="19"/>
        <v>224.1</v>
      </c>
      <c r="L193" s="7" t="str">
        <f t="shared" si="16"/>
        <v>Susquehanna Ave (b/c Pine St)</v>
      </c>
      <c r="M193" s="13"/>
    </row>
    <row r="194" spans="1:13" ht="49.5">
      <c r="A194" s="9">
        <f>Compilation!E154</f>
        <v>224.6</v>
      </c>
      <c r="B194" s="9">
        <f t="shared" si="14"/>
        <v>0.5</v>
      </c>
      <c r="C194" s="9">
        <f t="shared" si="17"/>
        <v>0.19999999999998863</v>
      </c>
      <c r="D194" s="10" t="str">
        <f>TRIM(Compilation!F154)</f>
        <v>1st R</v>
      </c>
      <c r="E194" s="11" t="str">
        <f>Compilation!I154</f>
        <v>Church St..Just after sharp left bend..b/c New York Ave / Rt 1033</v>
      </c>
      <c r="F194" s="32"/>
      <c r="G194" s="45">
        <f>Compilation!J154</f>
      </c>
      <c r="H194" s="3">
        <f t="shared" si="15"/>
      </c>
      <c r="I194" s="3">
        <f t="shared" si="18"/>
        <v>7</v>
      </c>
      <c r="J194" s="12">
        <f>IF(ISNUMBER(FIND("Controle",H194)),MATCH(H194,Controle!B:B,0),"")</f>
      </c>
      <c r="K194" s="7">
        <f t="shared" si="19"/>
        <v>224.1</v>
      </c>
      <c r="L194" s="7" t="str">
        <f t="shared" si="16"/>
        <v>Church St..Just after sharp left bend..b/c New York Ave / Rt 1033</v>
      </c>
      <c r="M194" s="13"/>
    </row>
    <row r="195" spans="1:13" ht="33">
      <c r="A195" s="9">
        <f>Compilation!E155</f>
        <v>227.2</v>
      </c>
      <c r="B195" s="9">
        <f t="shared" si="14"/>
        <v>3.0999999999999943</v>
      </c>
      <c r="C195" s="9">
        <f t="shared" si="17"/>
        <v>2.5999999999999943</v>
      </c>
      <c r="D195" s="10" t="str">
        <f>TRIM(Compilation!F155)</f>
        <v>X</v>
      </c>
      <c r="E195" s="11" t="str">
        <f>Compilation!I155</f>
        <v>NY border.. b/c Rt 7A / Rt 7 / Conklin Ave</v>
      </c>
      <c r="F195" s="32"/>
      <c r="G195" s="45">
        <f>Compilation!J155</f>
      </c>
      <c r="H195" s="3">
        <f t="shared" si="15"/>
      </c>
      <c r="I195" s="3">
        <f t="shared" si="18"/>
        <v>7</v>
      </c>
      <c r="J195" s="12">
        <f>IF(ISNUMBER(FIND("Controle",H195)),MATCH(H195,Controle!B:B,0),"")</f>
      </c>
      <c r="K195" s="7">
        <f t="shared" si="19"/>
        <v>224.1</v>
      </c>
      <c r="L195" s="7" t="str">
        <f t="shared" si="16"/>
        <v>NY border.. b/c Rt 7A / Rt 7 / Conklin Ave</v>
      </c>
      <c r="M195" s="13"/>
    </row>
    <row r="196" spans="1:13" ht="33">
      <c r="A196" s="9">
        <f>Compilation!E156</f>
        <v>239</v>
      </c>
      <c r="B196" s="9">
        <f t="shared" si="14"/>
        <v>14.900000000000006</v>
      </c>
      <c r="C196" s="9">
        <f t="shared" si="17"/>
        <v>11.800000000000011</v>
      </c>
      <c r="D196" s="10" t="str">
        <f>TRIM(Compilation!F156)</f>
        <v>Pass</v>
      </c>
      <c r="E196" s="11" t="str">
        <f>Compilation!I156</f>
        <v>(TFL) Exchange St (on right) [Binghamton]</v>
      </c>
      <c r="F196" s="32"/>
      <c r="G196" s="45">
        <f>Compilation!J156</f>
      </c>
      <c r="H196" s="3">
        <f t="shared" si="15"/>
      </c>
      <c r="I196" s="3">
        <f t="shared" si="18"/>
        <v>7</v>
      </c>
      <c r="J196" s="12">
        <f>IF(ISNUMBER(FIND("Controle",H196)),MATCH(H196,Controle!B:B,0),"")</f>
      </c>
      <c r="K196" s="7">
        <f t="shared" si="19"/>
        <v>224.1</v>
      </c>
      <c r="L196" s="7" t="str">
        <f t="shared" si="16"/>
        <v>(TFL) Exchange St (on right) [Binghamton]</v>
      </c>
      <c r="M196" s="13"/>
    </row>
    <row r="197" spans="1:13" ht="49.5">
      <c r="A197" s="9">
        <f>Compilation!E157</f>
        <v>239.4</v>
      </c>
      <c r="B197" s="9">
        <f t="shared" si="14"/>
        <v>15.300000000000011</v>
      </c>
      <c r="C197" s="9">
        <f t="shared" si="17"/>
        <v>0.4000000000000057</v>
      </c>
      <c r="D197" s="10" t="str">
        <f>TRIM(Compilation!F157)</f>
        <v>Left</v>
      </c>
      <c r="E197" s="11" t="str">
        <f>Compilation!I157</f>
        <v>(Blinking TFL) (unmarked) Washington St..'Tire Store'...follow "Bike 2" </v>
      </c>
      <c r="F197" s="32"/>
      <c r="G197" s="45" t="str">
        <f>Compilation!J157</f>
        <v>Diner MiniMarts</v>
      </c>
      <c r="H197" s="3">
        <f t="shared" si="15"/>
      </c>
      <c r="I197" s="3">
        <f t="shared" si="18"/>
        <v>7</v>
      </c>
      <c r="J197" s="12">
        <f>IF(ISNUMBER(FIND("Controle",H197)),MATCH(H197,Controle!B:B,0),"")</f>
      </c>
      <c r="K197" s="7">
        <f t="shared" si="19"/>
        <v>224.1</v>
      </c>
      <c r="L197" s="7" t="str">
        <f t="shared" si="16"/>
        <v>(Blinking TFL) (unmarked) Washington St..'Tire Store'...follow "Bike 2" </v>
      </c>
      <c r="M197" s="13"/>
    </row>
    <row r="198" spans="1:13" ht="16.5">
      <c r="A198" s="9">
        <f>Compilation!E158</f>
        <v>239.5</v>
      </c>
      <c r="B198" s="9">
        <f t="shared" si="14"/>
        <v>15.400000000000006</v>
      </c>
      <c r="C198" s="9">
        <f t="shared" si="17"/>
        <v>0.09999999999999432</v>
      </c>
      <c r="D198" s="10" t="str">
        <f>TRIM(Compilation!F158)</f>
        <v>R</v>
      </c>
      <c r="E198" s="11" t="str">
        <f>Compilation!I158</f>
        <v>(2nd TFL) Vestal Ave.."Bike 2" </v>
      </c>
      <c r="F198" s="32"/>
      <c r="G198" s="45" t="str">
        <f>Compilation!J158</f>
        <v>MiniMart</v>
      </c>
      <c r="H198" s="3">
        <f t="shared" si="15"/>
      </c>
      <c r="I198" s="3">
        <f t="shared" si="18"/>
        <v>7</v>
      </c>
      <c r="J198" s="12">
        <f>IF(ISNUMBER(FIND("Controle",H198)),MATCH(H198,Controle!B:B,0),"")</f>
      </c>
      <c r="K198" s="7">
        <f t="shared" si="19"/>
        <v>224.1</v>
      </c>
      <c r="L198" s="7" t="str">
        <f t="shared" si="16"/>
        <v>(2nd TFL) Vestal Ave.."Bike 2" </v>
      </c>
      <c r="M198" s="13"/>
    </row>
    <row r="199" spans="1:13" ht="33">
      <c r="A199" s="9">
        <f>Compilation!E159</f>
        <v>241.4</v>
      </c>
      <c r="B199" s="9">
        <f t="shared" si="14"/>
        <v>17.30000000000001</v>
      </c>
      <c r="C199" s="9">
        <f t="shared" si="17"/>
        <v>1.9000000000000057</v>
      </c>
      <c r="D199" s="10" t="str">
        <f>TRIM(Compilation!F159)</f>
        <v>L</v>
      </c>
      <c r="E199" s="11" t="str">
        <f>Compilation!I159</f>
        <v>(TFL) Merging with Rt 434 West.."Bike 2" </v>
      </c>
      <c r="F199" s="32"/>
      <c r="G199" s="45" t="str">
        <f>Compilation!J159</f>
        <v>Stores</v>
      </c>
      <c r="H199" s="3">
        <f t="shared" si="15"/>
      </c>
      <c r="I199" s="3">
        <f t="shared" si="18"/>
        <v>7</v>
      </c>
      <c r="J199" s="12">
        <f>IF(ISNUMBER(FIND("Controle",H199)),MATCH(H199,Controle!B:B,0),"")</f>
      </c>
      <c r="K199" s="7">
        <f t="shared" si="19"/>
        <v>224.1</v>
      </c>
      <c r="L199" s="7" t="str">
        <f t="shared" si="16"/>
        <v>(TFL) Merging with Rt 434 West.."Bike 2" </v>
      </c>
      <c r="M199" s="13"/>
    </row>
    <row r="200" spans="1:13" ht="16.5">
      <c r="A200" s="9">
        <f>Compilation!E160</f>
        <v>242.2</v>
      </c>
      <c r="B200" s="9">
        <f t="shared" si="14"/>
        <v>18.099999999999994</v>
      </c>
      <c r="C200" s="9">
        <f t="shared" si="17"/>
        <v>0.799999999999983</v>
      </c>
      <c r="D200" s="10" t="str">
        <f>TRIM(Compilation!F160)</f>
        <v>1st B R</v>
      </c>
      <c r="E200" s="11" t="str">
        <f>Compilation!I160</f>
        <v>Vestal Road / Rt 44.."Bike 2"</v>
      </c>
      <c r="F200" s="32"/>
      <c r="G200" s="45">
        <f>Compilation!J160</f>
      </c>
      <c r="H200" s="3">
        <f t="shared" si="15"/>
      </c>
      <c r="I200" s="3">
        <f t="shared" si="18"/>
        <v>7</v>
      </c>
      <c r="J200" s="12">
        <f>IF(ISNUMBER(FIND("Controle",H200)),MATCH(H200,Controle!B:B,0),"")</f>
      </c>
      <c r="K200" s="7">
        <f t="shared" si="19"/>
        <v>224.1</v>
      </c>
      <c r="L200" s="7" t="str">
        <f t="shared" si="16"/>
        <v>Vestal Road / Rt 44.."Bike 2"</v>
      </c>
      <c r="M200" s="13"/>
    </row>
    <row r="201" spans="1:13" ht="33">
      <c r="A201" s="9">
        <f>Compilation!E161</f>
        <v>242.8</v>
      </c>
      <c r="B201" s="9">
        <f t="shared" si="14"/>
        <v>18.700000000000017</v>
      </c>
      <c r="C201" s="9">
        <f t="shared" si="17"/>
        <v>0.6000000000000227</v>
      </c>
      <c r="D201" s="10" t="str">
        <f>TRIM(Compilation!F161)</f>
        <v>B L</v>
      </c>
      <c r="E201" s="11" t="str">
        <f>Compilation!I161</f>
        <v>(TFL) TRO Vestal Rd / Rt 44 (Jct Rt 201) </v>
      </c>
      <c r="F201" s="32"/>
      <c r="G201" s="45" t="str">
        <f>Compilation!J161</f>
        <v>MiniMart ahead</v>
      </c>
      <c r="H201" s="3">
        <f t="shared" si="15"/>
      </c>
      <c r="I201" s="3">
        <f t="shared" si="18"/>
        <v>7</v>
      </c>
      <c r="J201" s="12">
        <f>IF(ISNUMBER(FIND("Controle",H201)),MATCH(H201,Controle!B:B,0),"")</f>
      </c>
      <c r="K201" s="7">
        <f t="shared" si="19"/>
        <v>224.1</v>
      </c>
      <c r="L201" s="7" t="str">
        <f t="shared" si="16"/>
        <v>(TFL) TRO Vestal Rd / Rt 44 (Jct Rt 201) </v>
      </c>
      <c r="M201" s="13"/>
    </row>
    <row r="202" spans="1:13" ht="49.5">
      <c r="A202" s="9">
        <f>Compilation!E162</f>
        <v>247.5</v>
      </c>
      <c r="B202" s="9">
        <f t="shared" si="14"/>
        <v>23.400000000000006</v>
      </c>
      <c r="C202" s="9">
        <f t="shared" si="17"/>
        <v>4.699999999999989</v>
      </c>
      <c r="D202" s="10" t="str">
        <f>TRIM(Compilation!F162)</f>
        <v>T R + X</v>
      </c>
      <c r="E202" s="11" t="str">
        <f>Compilation!I162</f>
        <v>(TFL) Main St / Rt 48..then across River Bridge..'Kwik-Fill'.."Bike 17" [Vestal] </v>
      </c>
      <c r="F202" s="32"/>
      <c r="G202" s="45" t="str">
        <f>Compilation!J162</f>
        <v>MiniMart</v>
      </c>
      <c r="H202" s="3">
        <f t="shared" si="15"/>
      </c>
      <c r="I202" s="3">
        <f t="shared" si="18"/>
        <v>7</v>
      </c>
      <c r="J202" s="12">
        <f>IF(ISNUMBER(FIND("Controle",H202)),MATCH(H202,Controle!B:B,0),"")</f>
      </c>
      <c r="K202" s="7">
        <f t="shared" si="19"/>
        <v>224.1</v>
      </c>
      <c r="L202" s="7" t="str">
        <f t="shared" si="16"/>
        <v>(TFL) Main St / Rt 48..then across River Bridge..'Kwik-Fill'.."Bike 17" [Vestal] </v>
      </c>
      <c r="M202" s="13"/>
    </row>
    <row r="203" spans="1:13" ht="49.5">
      <c r="A203" s="9">
        <f>Compilation!E163</f>
        <v>247.9</v>
      </c>
      <c r="B203" s="9">
        <f aca="true" t="shared" si="20" ref="B203:B281">A203-K203</f>
        <v>23.80000000000001</v>
      </c>
      <c r="C203" s="9">
        <f aca="true" t="shared" si="21" ref="C203:C281">A203-A202</f>
        <v>0.4000000000000057</v>
      </c>
      <c r="D203" s="10" t="str">
        <f>TRIM(Compilation!F163)</f>
        <v>L</v>
      </c>
      <c r="E203" s="11" t="str">
        <f>Compilation!I163</f>
        <v>(TFL) Rt 17C / Main St..'Valero Mart' (Move to left lane before intersection) [Endicott] </v>
      </c>
      <c r="F203" s="32"/>
      <c r="G203" s="45" t="str">
        <f>Compilation!J163</f>
        <v>MiniMart</v>
      </c>
      <c r="H203" s="3">
        <f aca="true" t="shared" si="22" ref="H203:H281">IF(ISNUMBER(FIND("Controle",E203)),"Controle "&amp;I203,"")</f>
      </c>
      <c r="I203" s="3">
        <f aca="true" t="shared" si="23" ref="I203:I281">IF(LEFT(E203,8)="Controle",I202+1,I202)</f>
        <v>7</v>
      </c>
      <c r="J203" s="12">
        <f>IF(ISNUMBER(FIND("Controle",H203)),MATCH(H203,Controle!B:B,0),"")</f>
      </c>
      <c r="K203" s="7">
        <f aca="true" t="shared" si="24" ref="K203:K281">IF(H202&lt;&gt;"",A203,K202)</f>
        <v>224.1</v>
      </c>
      <c r="L203" s="7" t="str">
        <f aca="true" t="shared" si="25" ref="L203:L281">E203</f>
        <v>(TFL) Rt 17C / Main St..'Valero Mart' (Move to left lane before intersection) [Endicott] </v>
      </c>
      <c r="M203" s="13"/>
    </row>
    <row r="204" spans="1:13" ht="42.75">
      <c r="A204" s="9">
        <f>Compilation!E164</f>
        <v>259.4</v>
      </c>
      <c r="B204" s="9">
        <f t="shared" si="20"/>
        <v>35.29999999999998</v>
      </c>
      <c r="C204" s="9">
        <f t="shared" si="21"/>
        <v>11.499999999999972</v>
      </c>
      <c r="D204" s="10" t="str">
        <f>TRIM(Compilation!F164)</f>
        <v>Pass</v>
      </c>
      <c r="E204" s="11" t="str">
        <f>Compilation!I164</f>
        <v>Owego city limit </v>
      </c>
      <c r="F204" s="32"/>
      <c r="G204" s="45" t="str">
        <f>Compilation!J164</f>
        <v>Hotels Stores FastFood Restaurants</v>
      </c>
      <c r="H204" s="3">
        <f t="shared" si="22"/>
      </c>
      <c r="I204" s="3">
        <f t="shared" si="23"/>
        <v>7</v>
      </c>
      <c r="J204" s="12">
        <f>IF(ISNUMBER(FIND("Controle",H204)),MATCH(H204,Controle!B:B,0),"")</f>
      </c>
      <c r="K204" s="7">
        <f t="shared" si="24"/>
        <v>224.1</v>
      </c>
      <c r="L204" s="7" t="str">
        <f t="shared" si="25"/>
        <v>Owego city limit </v>
      </c>
      <c r="M204" s="13"/>
    </row>
    <row r="205" spans="1:13" ht="33">
      <c r="A205" s="9">
        <f>Compilation!E165</f>
        <v>261.5</v>
      </c>
      <c r="B205" s="9">
        <f t="shared" si="20"/>
        <v>37.400000000000006</v>
      </c>
      <c r="C205" s="9">
        <f t="shared" si="21"/>
        <v>2.1000000000000227</v>
      </c>
      <c r="D205" s="10" t="str">
        <f>TRIM(Compilation!F165)</f>
        <v>Straight</v>
      </c>
      <c r="E205" s="11" t="str">
        <f>Compilation!I165</f>
        <v>(TFL) Joining Front St [Owego]..leaving Rt 17C</v>
      </c>
      <c r="F205" s="32"/>
      <c r="G205" s="45">
        <f>Compilation!J165</f>
      </c>
      <c r="H205" s="3">
        <f t="shared" si="22"/>
      </c>
      <c r="I205" s="3">
        <f t="shared" si="23"/>
        <v>7</v>
      </c>
      <c r="J205" s="12">
        <f>IF(ISNUMBER(FIND("Controle",H205)),MATCH(H205,Controle!B:B,0),"")</f>
      </c>
      <c r="K205" s="7">
        <f t="shared" si="24"/>
        <v>224.1</v>
      </c>
      <c r="L205" s="7" t="str">
        <f t="shared" si="25"/>
        <v>(TFL) Joining Front St [Owego]..leaving Rt 17C</v>
      </c>
      <c r="M205" s="13"/>
    </row>
    <row r="206" spans="1:13" ht="16.5">
      <c r="A206" s="9">
        <f>Compilation!E166</f>
        <v>261.9</v>
      </c>
      <c r="B206" s="9">
        <f t="shared" si="20"/>
        <v>37.79999999999998</v>
      </c>
      <c r="C206" s="9">
        <f t="shared" si="21"/>
        <v>0.39999999999997726</v>
      </c>
      <c r="D206" s="10" t="str">
        <f>TRIM(Compilation!F166)</f>
        <v>T R</v>
      </c>
      <c r="E206" s="11" t="str">
        <f>Compilation!I166</f>
        <v>Williams St</v>
      </c>
      <c r="F206" s="32"/>
      <c r="G206" s="45">
        <f>Compilation!J166</f>
      </c>
      <c r="H206" s="3">
        <f t="shared" si="22"/>
      </c>
      <c r="I206" s="3">
        <f t="shared" si="23"/>
        <v>7</v>
      </c>
      <c r="J206" s="12">
        <f>IF(ISNUMBER(FIND("Controle",H206)),MATCH(H206,Controle!B:B,0),"")</f>
      </c>
      <c r="K206" s="7">
        <f t="shared" si="24"/>
        <v>224.1</v>
      </c>
      <c r="L206" s="7" t="str">
        <f t="shared" si="25"/>
        <v>Williams St</v>
      </c>
      <c r="M206" s="13"/>
    </row>
    <row r="207" spans="1:13" ht="16.5">
      <c r="A207" s="9">
        <f>Compilation!E167</f>
        <v>262</v>
      </c>
      <c r="B207" s="9">
        <f t="shared" si="20"/>
        <v>37.900000000000006</v>
      </c>
      <c r="C207" s="9">
        <f t="shared" si="21"/>
        <v>0.10000000000002274</v>
      </c>
      <c r="D207" s="10" t="str">
        <f>TRIM(Compilation!F167)</f>
        <v>T L</v>
      </c>
      <c r="E207" s="11" t="str">
        <f>Compilation!I167</f>
        <v>Rt 17C / Main St </v>
      </c>
      <c r="F207" s="32"/>
      <c r="G207" s="45" t="str">
        <f>Compilation!J167</f>
        <v>MiniMart</v>
      </c>
      <c r="H207" s="3">
        <f t="shared" si="22"/>
      </c>
      <c r="I207" s="3">
        <f t="shared" si="23"/>
        <v>7</v>
      </c>
      <c r="J207" s="12">
        <f>IF(ISNUMBER(FIND("Controle",H207)),MATCH(H207,Controle!B:B,0),"")</f>
      </c>
      <c r="K207" s="7">
        <f t="shared" si="24"/>
        <v>224.1</v>
      </c>
      <c r="L207" s="7" t="str">
        <f t="shared" si="25"/>
        <v>Rt 17C / Main St </v>
      </c>
      <c r="M207" s="13"/>
    </row>
    <row r="208" spans="1:13" ht="33">
      <c r="A208" s="9">
        <f>Compilation!E168</f>
        <v>262.9</v>
      </c>
      <c r="B208" s="9">
        <f t="shared" si="20"/>
        <v>38.79999999999998</v>
      </c>
      <c r="C208" s="9">
        <f t="shared" si="21"/>
        <v>0.8999999999999773</v>
      </c>
      <c r="D208" s="10" t="str">
        <f>TRIM(Compilation!F168)</f>
        <v>B L</v>
      </c>
      <c r="E208" s="11" t="str">
        <f>Compilation!I168</f>
        <v>FMR TRO Rt 17C (Rt 43 goes right)</v>
      </c>
      <c r="F208" s="32"/>
      <c r="G208" s="45">
        <f>Compilation!J168</f>
      </c>
      <c r="H208" s="3">
        <f t="shared" si="22"/>
      </c>
      <c r="I208" s="3">
        <f t="shared" si="23"/>
        <v>7</v>
      </c>
      <c r="J208" s="12">
        <f>IF(ISNUMBER(FIND("Controle",H208)),MATCH(H208,Controle!B:B,0),"")</f>
      </c>
      <c r="K208" s="7">
        <f t="shared" si="24"/>
        <v>224.1</v>
      </c>
      <c r="L208" s="7" t="str">
        <f t="shared" si="25"/>
        <v>FMR TRO Rt 17C (Rt 43 goes right)</v>
      </c>
      <c r="M208" s="13"/>
    </row>
    <row r="209" spans="1:13" ht="16.5">
      <c r="A209" s="9">
        <f>Compilation!E169</f>
        <v>270.4</v>
      </c>
      <c r="B209" s="9">
        <f t="shared" si="20"/>
        <v>46.29999999999998</v>
      </c>
      <c r="C209" s="9">
        <f t="shared" si="21"/>
        <v>7.5</v>
      </c>
      <c r="D209" s="10" t="str">
        <f>TRIM(Compilation!F169)</f>
        <v>L</v>
      </c>
      <c r="E209" s="11" t="str">
        <f>Compilation!I169</f>
        <v>Rt 282.."Attractions"</v>
      </c>
      <c r="F209" s="32"/>
      <c r="G209" s="45">
        <f>Compilation!J169</f>
      </c>
      <c r="H209" s="3">
        <f t="shared" si="22"/>
      </c>
      <c r="I209" s="3">
        <f t="shared" si="23"/>
        <v>7</v>
      </c>
      <c r="J209" s="12">
        <f>IF(ISNUMBER(FIND("Controle",H209)),MATCH(H209,Controle!B:B,0),"")</f>
      </c>
      <c r="K209" s="7">
        <f t="shared" si="24"/>
        <v>224.1</v>
      </c>
      <c r="L209" s="7" t="str">
        <f t="shared" si="25"/>
        <v>Rt 282.."Attractions"</v>
      </c>
      <c r="M209" s="13"/>
    </row>
    <row r="210" spans="1:13" ht="16.5">
      <c r="A210" s="9">
        <f>Compilation!E170</f>
        <v>271</v>
      </c>
      <c r="B210" s="9">
        <f t="shared" si="20"/>
        <v>46.900000000000006</v>
      </c>
      <c r="C210" s="9">
        <f t="shared" si="21"/>
        <v>0.6000000000000227</v>
      </c>
      <c r="D210" s="10" t="str">
        <f>TRIM(Compilation!F170)</f>
        <v>T L</v>
      </c>
      <c r="E210" s="11" t="str">
        <f>Compilation!I170</f>
        <v>Rt 4 / West River Dr</v>
      </c>
      <c r="F210" s="32"/>
      <c r="G210" s="45">
        <f>Compilation!J170</f>
      </c>
      <c r="H210" s="3">
        <f t="shared" si="22"/>
      </c>
      <c r="I210" s="3">
        <f t="shared" si="23"/>
        <v>7</v>
      </c>
      <c r="J210" s="12">
        <f>IF(ISNUMBER(FIND("Controle",H210)),MATCH(H210,Controle!B:B,0),"")</f>
      </c>
      <c r="K210" s="7">
        <f t="shared" si="24"/>
        <v>224.1</v>
      </c>
      <c r="L210" s="7" t="str">
        <f t="shared" si="25"/>
        <v>Rt 4 / West River Dr</v>
      </c>
      <c r="M210" s="13"/>
    </row>
    <row r="211" spans="1:13" ht="50.25" thickBot="1">
      <c r="A211" s="9">
        <f>Compilation!E171</f>
        <v>271.1</v>
      </c>
      <c r="B211" s="9">
        <f t="shared" si="20"/>
        <v>47.00000000000003</v>
      </c>
      <c r="C211" s="9">
        <f t="shared" si="21"/>
        <v>0.10000000000002274</v>
      </c>
      <c r="D211" s="10" t="str">
        <f>TRIM(Compilation!F171)</f>
        <v>STOP</v>
      </c>
      <c r="E211" s="11" t="str">
        <f>Compilation!I171</f>
        <v>Controle Citgo / Dandy Mini Mart (Answer Info Controle question on card) </v>
      </c>
      <c r="F211" s="32"/>
      <c r="G211" s="45" t="str">
        <f>Compilation!J171</f>
        <v>MiniMart</v>
      </c>
      <c r="H211" s="3" t="str">
        <f t="shared" si="22"/>
        <v>Controle 8</v>
      </c>
      <c r="I211" s="3">
        <f t="shared" si="23"/>
        <v>8</v>
      </c>
      <c r="J211" s="12">
        <f>IF(ISNUMBER(FIND("Controle",H211)),MATCH(H211,Controle!B:B,0),"")</f>
        <v>24</v>
      </c>
      <c r="K211" s="7">
        <f t="shared" si="24"/>
        <v>224.1</v>
      </c>
      <c r="L211" s="7" t="str">
        <f t="shared" si="25"/>
        <v>Controle Citgo / Dandy Mini Mart (Answer Info Controle question on card) </v>
      </c>
      <c r="M211" s="13"/>
    </row>
    <row r="212" spans="1:12" ht="16.5">
      <c r="A212" s="53" t="str">
        <f>INDEX(Controle!H:H,Cue!J211)&amp;" "</f>
        <v>Controle 8 Dandy Mini Market (607) 699-3538 </v>
      </c>
      <c r="B212" s="54"/>
      <c r="C212" s="54"/>
      <c r="D212" s="54"/>
      <c r="E212" s="55"/>
      <c r="F212" s="30"/>
      <c r="G212" s="43"/>
      <c r="H212" s="3">
        <f>IF(ISNUMBER(FIND("Controle",E212)),LEFT(E212,FIND(" ",E212,10)-1),"")</f>
      </c>
      <c r="I212" s="3">
        <f>IF(LEFT(E212,8)="Controle",I211+1,I211)</f>
        <v>8</v>
      </c>
      <c r="J212" s="12">
        <f>IF(ISNUMBER(FIND("Controle",H212)),MATCH(H212,Controle!B:B,0),"")</f>
      </c>
      <c r="K212" s="7">
        <f>IF(B211="Leg",A212,K211)</f>
        <v>224.1</v>
      </c>
      <c r="L212" s="7">
        <f t="shared" si="25"/>
        <v>0</v>
      </c>
    </row>
    <row r="213" spans="1:12" ht="16.5">
      <c r="A213" s="50" t="str">
        <f>INDEX(Controle!H:H,Cue!J211+1)&amp;" "</f>
        <v>814 W River Rd, Nichols, NY </v>
      </c>
      <c r="B213" s="51"/>
      <c r="C213" s="51"/>
      <c r="D213" s="51"/>
      <c r="E213" s="52"/>
      <c r="F213" s="30"/>
      <c r="G213" s="43"/>
      <c r="H213" s="3">
        <f>IF(ISNUMBER(FIND("Controle",E213)),LEFT(E213,FIND(" ",E213,10)-1),"")</f>
      </c>
      <c r="I213" s="3">
        <f>IF(LEFT(E213,8)="Controle",I212+1,I212)</f>
        <v>8</v>
      </c>
      <c r="J213" s="12">
        <f>IF(ISNUMBER(FIND("Controle",H213)),MATCH(H213,Controle!B:B,0),"")</f>
      </c>
      <c r="K213" s="7">
        <f>IF(B212="Leg",A213,K212)</f>
        <v>224.1</v>
      </c>
      <c r="L213" s="7">
        <f t="shared" si="25"/>
        <v>0</v>
      </c>
    </row>
    <row r="214" spans="1:13" ht="17.25" thickBot="1">
      <c r="A214" s="47" t="str">
        <f>INDEX(Controle!H:H,Cue!J211+2)&amp;" "</f>
        <v>close: Not Timed (on pace:  08/09 09:04) </v>
      </c>
      <c r="B214" s="48"/>
      <c r="C214" s="48"/>
      <c r="D214" s="48"/>
      <c r="E214" s="49"/>
      <c r="F214" s="31"/>
      <c r="G214" s="44"/>
      <c r="H214" s="3">
        <f>IF(ISNUMBER(FIND("Controle",E214)),LEFT(E214,FIND(" ",E214,10)-1),"")</f>
      </c>
      <c r="I214" s="3">
        <f>IF(LEFT(E214,8)="Controle",I213+1,I213)</f>
        <v>8</v>
      </c>
      <c r="J214" s="12">
        <f>IF(ISNUMBER(FIND("Controle",H214)),MATCH(H214,Controle!B:B,0),"")</f>
      </c>
      <c r="K214" s="7">
        <f>IF(B213="Leg",A214,K213)</f>
        <v>224.1</v>
      </c>
      <c r="L214" s="7">
        <f t="shared" si="25"/>
        <v>0</v>
      </c>
      <c r="M214" s="8"/>
    </row>
    <row r="215" spans="1:13" ht="49.5">
      <c r="A215" s="9">
        <f>Compilation!E172</f>
        <v>271.2</v>
      </c>
      <c r="B215" s="9">
        <f t="shared" si="20"/>
        <v>0</v>
      </c>
      <c r="C215" s="9">
        <f>A215-A211</f>
        <v>0.0999999999999659</v>
      </c>
      <c r="D215" s="10" t="str">
        <f>TRIM(Compilation!F172)</f>
        <v>Backtrack</v>
      </c>
      <c r="E215" s="11" t="str">
        <f>Compilation!I172</f>
        <v>Leave parking lot turning left on Rt 4 / West River Rd (reverse direction)</v>
      </c>
      <c r="F215" s="32"/>
      <c r="G215" s="45">
        <f>Compilation!J172</f>
      </c>
      <c r="H215" s="3">
        <f t="shared" si="22"/>
      </c>
      <c r="I215" s="3">
        <f>IF(LEFT(E215,8)="Controle",I211+1,I211)</f>
        <v>8</v>
      </c>
      <c r="J215" s="12">
        <f>IF(ISNUMBER(FIND("Controle",H215)),MATCH(H215,Controle!B:B,0),"")</f>
      </c>
      <c r="K215" s="7">
        <f>IF(H211&lt;&gt;"",A215,K211)</f>
        <v>271.2</v>
      </c>
      <c r="L215" s="7" t="str">
        <f t="shared" si="25"/>
        <v>Leave parking lot turning left on Rt 4 / West River Rd (reverse direction)</v>
      </c>
      <c r="M215" s="13"/>
    </row>
    <row r="216" spans="1:13" ht="33">
      <c r="A216" s="9">
        <f>Compilation!E173</f>
        <v>276.4</v>
      </c>
      <c r="B216" s="9">
        <f t="shared" si="20"/>
        <v>5.199999999999989</v>
      </c>
      <c r="C216" s="9">
        <f t="shared" si="21"/>
        <v>5.199999999999989</v>
      </c>
      <c r="D216" s="10" t="str">
        <f>TRIM(Compilation!F173)</f>
        <v>X</v>
      </c>
      <c r="E216" s="11" t="str">
        <f>Compilation!I173</f>
        <v>Rt 17 underpass..b/c Riverside Dr / Rt 1043 </v>
      </c>
      <c r="F216" s="32"/>
      <c r="G216" s="45">
        <f>Compilation!J173</f>
      </c>
      <c r="H216" s="3">
        <f t="shared" si="22"/>
      </c>
      <c r="I216" s="3">
        <f t="shared" si="23"/>
        <v>8</v>
      </c>
      <c r="J216" s="12">
        <f>IF(ISNUMBER(FIND("Controle",H216)),MATCH(H216,Controle!B:B,0),"")</f>
      </c>
      <c r="K216" s="7">
        <f t="shared" si="24"/>
        <v>271.2</v>
      </c>
      <c r="L216" s="7" t="str">
        <f t="shared" si="25"/>
        <v>Rt 17 underpass..b/c Riverside Dr / Rt 1043 </v>
      </c>
      <c r="M216" s="13"/>
    </row>
    <row r="217" spans="1:13" ht="82.5">
      <c r="A217" s="9">
        <f>Compilation!E174</f>
        <v>281.4</v>
      </c>
      <c r="B217" s="9">
        <f t="shared" si="20"/>
        <v>10.199999999999989</v>
      </c>
      <c r="C217" s="9">
        <f t="shared" si="21"/>
        <v>5</v>
      </c>
      <c r="D217" s="10" t="str">
        <f>TRIM(Compilation!F174)</f>
        <v>X</v>
      </c>
      <c r="E217" s="11" t="str">
        <f>Compilation!I174</f>
        <v>(SS) Rt 1056 TRO Rt 1043 ***CAUTION*** Road closed ahead but passable by foot. Watch for road debris and washouts.</v>
      </c>
      <c r="F217" s="32"/>
      <c r="G217" s="45">
        <f>Compilation!J174</f>
      </c>
      <c r="H217" s="3">
        <f t="shared" si="22"/>
      </c>
      <c r="I217" s="3">
        <f t="shared" si="23"/>
        <v>8</v>
      </c>
      <c r="J217" s="12">
        <f>IF(ISNUMBER(FIND("Controle",H217)),MATCH(H217,Controle!B:B,0),"")</f>
      </c>
      <c r="K217" s="7">
        <f t="shared" si="24"/>
        <v>271.2</v>
      </c>
      <c r="L217" s="7" t="str">
        <f t="shared" si="25"/>
        <v>(SS) Rt 1056 TRO Rt 1043 ***CAUTION*** Road closed ahead but passable by foot. Watch for road debris and washouts.</v>
      </c>
      <c r="M217" s="13"/>
    </row>
    <row r="218" spans="1:13" ht="16.5">
      <c r="A218" s="9">
        <f>Compilation!E175</f>
        <v>294.6</v>
      </c>
      <c r="B218" s="9">
        <f t="shared" si="20"/>
        <v>23.400000000000034</v>
      </c>
      <c r="C218" s="9">
        <f t="shared" si="21"/>
        <v>13.200000000000045</v>
      </c>
      <c r="D218" s="10" t="str">
        <f>TRIM(Compilation!F175)</f>
        <v>T R</v>
      </c>
      <c r="E218" s="11" t="str">
        <f>Compilation!I175</f>
        <v>Rt 1041 James St (cross bridge)</v>
      </c>
      <c r="F218" s="32"/>
      <c r="G218" s="45">
        <f>Compilation!J175</f>
      </c>
      <c r="H218" s="3">
        <f t="shared" si="22"/>
      </c>
      <c r="I218" s="3">
        <f t="shared" si="23"/>
        <v>8</v>
      </c>
      <c r="J218" s="12">
        <f>IF(ISNUMBER(FIND("Controle",H218)),MATCH(H218,Controle!B:B,0),"")</f>
      </c>
      <c r="K218" s="7">
        <f t="shared" si="24"/>
        <v>271.2</v>
      </c>
      <c r="L218" s="7" t="str">
        <f t="shared" si="25"/>
        <v>Rt 1041 James St (cross bridge)</v>
      </c>
      <c r="M218" s="13"/>
    </row>
    <row r="219" spans="1:13" ht="33.75" thickBot="1">
      <c r="A219" s="9">
        <f>Compilation!E176</f>
        <v>295.3</v>
      </c>
      <c r="B219" s="9">
        <f t="shared" si="20"/>
        <v>24.100000000000023</v>
      </c>
      <c r="C219" s="9">
        <f t="shared" si="21"/>
        <v>0.6999999999999886</v>
      </c>
      <c r="D219" s="10" t="str">
        <f>TRIM(Compilation!F176)</f>
        <v>STOP</v>
      </c>
      <c r="E219" s="11" t="str">
        <f>Compilation!I176</f>
        <v>Controle Dandy Gas N' Go (jct James St  / Reuter Blvd </v>
      </c>
      <c r="F219" s="32"/>
      <c r="G219" s="45" t="str">
        <f>Compilation!J176</f>
        <v>MiniMart</v>
      </c>
      <c r="H219" s="3" t="str">
        <f t="shared" si="22"/>
        <v>Controle 9</v>
      </c>
      <c r="I219" s="3">
        <f t="shared" si="23"/>
        <v>9</v>
      </c>
      <c r="J219" s="12">
        <f>IF(ISNUMBER(FIND("Controle",H219)),MATCH(H219,Controle!B:B,0),"")</f>
        <v>27</v>
      </c>
      <c r="K219" s="7">
        <f t="shared" si="24"/>
        <v>271.2</v>
      </c>
      <c r="L219" s="7" t="str">
        <f t="shared" si="25"/>
        <v>Controle Dandy Gas N' Go (jct James St  / Reuter Blvd </v>
      </c>
      <c r="M219" s="13"/>
    </row>
    <row r="220" spans="1:12" ht="16.5">
      <c r="A220" s="53" t="str">
        <f>INDEX(Controle!H:H,Cue!J219)&amp;" "</f>
        <v>Controle 9 Dandy Mini Mart 5 (570) 265-6380 </v>
      </c>
      <c r="B220" s="54"/>
      <c r="C220" s="54"/>
      <c r="D220" s="54"/>
      <c r="E220" s="55"/>
      <c r="F220" s="30"/>
      <c r="G220" s="43"/>
      <c r="H220" s="3">
        <f>IF(ISNUMBER(FIND("Controle",E220)),LEFT(E220,FIND(" ",E220,10)-1),"")</f>
      </c>
      <c r="I220" s="3">
        <f>IF(LEFT(E220,8)="Controle",I219+1,I219)</f>
        <v>9</v>
      </c>
      <c r="J220" s="12">
        <f>IF(ISNUMBER(FIND("Controle",H220)),MATCH(H220,Controle!B:B,0),"")</f>
      </c>
      <c r="K220" s="7">
        <f>IF(B219="Leg",A220,K219)</f>
        <v>271.2</v>
      </c>
      <c r="L220" s="7">
        <f>E220</f>
        <v>0</v>
      </c>
    </row>
    <row r="221" spans="1:12" ht="16.5">
      <c r="A221" s="50" t="str">
        <f>INDEX(Controle!H:H,Cue!J219+1)&amp;" "</f>
        <v>474 Reuters Blvd, Towanda, PA </v>
      </c>
      <c r="B221" s="51"/>
      <c r="C221" s="51"/>
      <c r="D221" s="51"/>
      <c r="E221" s="52"/>
      <c r="F221" s="30"/>
      <c r="G221" s="43"/>
      <c r="H221" s="3">
        <f>IF(ISNUMBER(FIND("Controle",E221)),LEFT(E221,FIND(" ",E221,10)-1),"")</f>
      </c>
      <c r="I221" s="3">
        <f>IF(LEFT(E221,8)="Controle",I220+1,I220)</f>
        <v>9</v>
      </c>
      <c r="J221" s="12">
        <f>IF(ISNUMBER(FIND("Controle",H221)),MATCH(H221,Controle!B:B,0),"")</f>
      </c>
      <c r="K221" s="7">
        <f>IF(B220="Leg",A221,K220)</f>
        <v>271.2</v>
      </c>
      <c r="L221" s="7">
        <f>E221</f>
        <v>0</v>
      </c>
    </row>
    <row r="222" spans="1:13" ht="17.25" thickBot="1">
      <c r="A222" s="47" t="str">
        <f>INDEX(Controle!H:H,Cue!J219+2)&amp;" "</f>
        <v>open: 08/08 18:38  close: 08/09 11:40 </v>
      </c>
      <c r="B222" s="48"/>
      <c r="C222" s="48"/>
      <c r="D222" s="48"/>
      <c r="E222" s="49"/>
      <c r="F222" s="31"/>
      <c r="G222" s="44"/>
      <c r="H222" s="3">
        <f>IF(ISNUMBER(FIND("Controle",E222)),LEFT(E222,FIND(" ",E222,10)-1),"")</f>
      </c>
      <c r="I222" s="3">
        <f>IF(LEFT(E222,8)="Controle",I221+1,I221)</f>
        <v>9</v>
      </c>
      <c r="J222" s="12">
        <f>IF(ISNUMBER(FIND("Controle",H222)),MATCH(H222,Controle!B:B,0),"")</f>
      </c>
      <c r="K222" s="7">
        <f>IF(B221="Leg",A222,K221)</f>
        <v>271.2</v>
      </c>
      <c r="L222" s="7">
        <f>E222</f>
        <v>0</v>
      </c>
      <c r="M222" s="8"/>
    </row>
    <row r="223" spans="1:13" ht="49.5">
      <c r="A223" s="9">
        <f>Compilation!E177</f>
        <v>295.3</v>
      </c>
      <c r="B223" s="9">
        <f t="shared" si="20"/>
        <v>0</v>
      </c>
      <c r="C223" s="9">
        <f>A223-A219</f>
        <v>0</v>
      </c>
      <c r="D223" s="10" t="str">
        <f>TRIM(Compilation!F177)</f>
        <v>Turn</v>
      </c>
      <c r="E223" s="11" t="str">
        <f>Compilation!I177</f>
        <v>Leave parking lot turning left on Reuter Blvd (exit near gas pumps)</v>
      </c>
      <c r="F223" s="32"/>
      <c r="G223" s="45">
        <f>Compilation!J177</f>
      </c>
      <c r="H223" s="3">
        <f t="shared" si="22"/>
      </c>
      <c r="I223" s="3">
        <f>IF(LEFT(E223,8)="Controle",I219+1,I219)</f>
        <v>9</v>
      </c>
      <c r="J223" s="12">
        <f>IF(ISNUMBER(FIND("Controle",H223)),MATCH(H223,Controle!B:B,0),"")</f>
      </c>
      <c r="K223" s="7">
        <f>IF(H219&lt;&gt;"",A223,K219)</f>
        <v>295.3</v>
      </c>
      <c r="L223" s="7" t="str">
        <f t="shared" si="25"/>
        <v>Leave parking lot turning left on Reuter Blvd (exit near gas pumps)</v>
      </c>
      <c r="M223" s="13"/>
    </row>
    <row r="224" spans="1:13" ht="16.5">
      <c r="A224" s="9">
        <f>Compilation!E178</f>
        <v>295.5</v>
      </c>
      <c r="B224" s="9">
        <f t="shared" si="20"/>
        <v>0.19999999999998863</v>
      </c>
      <c r="C224" s="9">
        <f t="shared" si="21"/>
        <v>0.19999999999998863</v>
      </c>
      <c r="D224" s="10" t="str">
        <f>TRIM(Compilation!F178)</f>
        <v>QL</v>
      </c>
      <c r="E224" s="11" t="str">
        <f>Compilation!I178</f>
        <v>(TFL) (John B) Merrill Pkwy</v>
      </c>
      <c r="F224" s="32"/>
      <c r="G224" s="45">
        <f>Compilation!J178</f>
      </c>
      <c r="H224" s="3">
        <f t="shared" si="22"/>
      </c>
      <c r="I224" s="3">
        <f t="shared" si="23"/>
        <v>9</v>
      </c>
      <c r="J224" s="12">
        <f>IF(ISNUMBER(FIND("Controle",H224)),MATCH(H224,Controle!B:B,0),"")</f>
      </c>
      <c r="K224" s="7">
        <f t="shared" si="24"/>
        <v>295.3</v>
      </c>
      <c r="L224" s="7" t="str">
        <f t="shared" si="25"/>
        <v>(TFL) (John B) Merrill Pkwy</v>
      </c>
      <c r="M224" s="13"/>
    </row>
    <row r="225" spans="1:13" ht="49.5">
      <c r="A225" s="9">
        <f>Compilation!E179</f>
        <v>296.9</v>
      </c>
      <c r="B225" s="9">
        <f t="shared" si="20"/>
        <v>1.599999999999966</v>
      </c>
      <c r="C225" s="9">
        <f t="shared" si="21"/>
        <v>1.3999999999999773</v>
      </c>
      <c r="D225" s="10" t="str">
        <f>TRIM(Compilation!F179)</f>
        <v>R</v>
      </c>
      <c r="E225" s="11" t="str">
        <f>Compilation!I179</f>
        <v>State St (before RR crossing..."Flying Cow" bakery on right) </v>
      </c>
      <c r="F225" s="32"/>
      <c r="G225" s="45" t="str">
        <f>Compilation!J179</f>
        <v>Bakery Cafe</v>
      </c>
      <c r="H225" s="3">
        <f t="shared" si="22"/>
      </c>
      <c r="I225" s="3">
        <f t="shared" si="23"/>
        <v>9</v>
      </c>
      <c r="J225" s="12">
        <f>IF(ISNUMBER(FIND("Controle",H225)),MATCH(H225,Controle!B:B,0),"")</f>
      </c>
      <c r="K225" s="7">
        <f t="shared" si="24"/>
        <v>295.3</v>
      </c>
      <c r="L225" s="7" t="str">
        <f t="shared" si="25"/>
        <v>State St (before RR crossing..."Flying Cow" bakery on right) </v>
      </c>
      <c r="M225" s="13"/>
    </row>
    <row r="226" spans="1:13" ht="16.5">
      <c r="A226" s="9">
        <f>Compilation!E180</f>
        <v>297</v>
      </c>
      <c r="B226" s="9">
        <f t="shared" si="20"/>
        <v>1.6999999999999886</v>
      </c>
      <c r="C226" s="9">
        <f t="shared" si="21"/>
        <v>0.10000000000002274</v>
      </c>
      <c r="D226" s="10" t="str">
        <f>TRIM(Compilation!F180)</f>
        <v>L</v>
      </c>
      <c r="E226" s="11" t="str">
        <f>Compilation!I180</f>
        <v>(SS) Main St / Rt 6</v>
      </c>
      <c r="F226" s="32"/>
      <c r="G226" s="45">
        <f>Compilation!J180</f>
      </c>
      <c r="H226" s="3">
        <f t="shared" si="22"/>
      </c>
      <c r="I226" s="3">
        <f t="shared" si="23"/>
        <v>9</v>
      </c>
      <c r="J226" s="12">
        <f>IF(ISNUMBER(FIND("Controle",H226)),MATCH(H226,Controle!B:B,0),"")</f>
      </c>
      <c r="K226" s="7">
        <f t="shared" si="24"/>
        <v>295.3</v>
      </c>
      <c r="L226" s="7" t="str">
        <f t="shared" si="25"/>
        <v>(SS) Main St / Rt 6</v>
      </c>
      <c r="M226" s="13"/>
    </row>
    <row r="227" spans="1:13" ht="33">
      <c r="A227" s="9">
        <f>Compilation!E181</f>
        <v>297.5</v>
      </c>
      <c r="B227" s="9">
        <f t="shared" si="20"/>
        <v>2.1999999999999886</v>
      </c>
      <c r="C227" s="9">
        <f t="shared" si="21"/>
        <v>0.5</v>
      </c>
      <c r="D227" s="10" t="str">
        <f>TRIM(Compilation!F181)</f>
        <v>Straight</v>
      </c>
      <c r="E227" s="11" t="str">
        <f>Compilation!I181</f>
        <v>(TFL) Joining Rt 2027 / Main St  (leaving Rt 6) </v>
      </c>
      <c r="F227" s="32"/>
      <c r="G227" s="45" t="str">
        <f>Compilation!J181</f>
        <v>MiniMart</v>
      </c>
      <c r="H227" s="3">
        <f t="shared" si="22"/>
      </c>
      <c r="I227" s="3">
        <f t="shared" si="23"/>
        <v>9</v>
      </c>
      <c r="J227" s="12">
        <f>IF(ISNUMBER(FIND("Controle",H227)),MATCH(H227,Controle!B:B,0),"")</f>
      </c>
      <c r="K227" s="7">
        <f t="shared" si="24"/>
        <v>295.3</v>
      </c>
      <c r="L227" s="7" t="str">
        <f t="shared" si="25"/>
        <v>(TFL) Joining Rt 2027 / Main St  (leaving Rt 6) </v>
      </c>
      <c r="M227" s="13"/>
    </row>
    <row r="228" spans="1:13" ht="28.5">
      <c r="A228" s="9">
        <f>Compilation!E182</f>
        <v>299.2</v>
      </c>
      <c r="B228" s="9">
        <f t="shared" si="20"/>
        <v>3.8999999999999773</v>
      </c>
      <c r="C228" s="9">
        <f t="shared" si="21"/>
        <v>1.6999999999999886</v>
      </c>
      <c r="D228" s="10" t="str">
        <f>TRIM(Compilation!F182)</f>
        <v>T L</v>
      </c>
      <c r="E228" s="11" t="str">
        <f>Compilation!I182</f>
        <v>Rt 220 </v>
      </c>
      <c r="F228" s="32"/>
      <c r="G228" s="45" t="str">
        <f>Compilation!J182</f>
        <v>Diner on left before turn</v>
      </c>
      <c r="H228" s="3">
        <f t="shared" si="22"/>
      </c>
      <c r="I228" s="3">
        <f t="shared" si="23"/>
        <v>9</v>
      </c>
      <c r="J228" s="12">
        <f>IF(ISNUMBER(FIND("Controle",H228)),MATCH(H228,Controle!B:B,0),"")</f>
      </c>
      <c r="K228" s="7">
        <f t="shared" si="24"/>
        <v>295.3</v>
      </c>
      <c r="L228" s="7" t="str">
        <f t="shared" si="25"/>
        <v>Rt 220 </v>
      </c>
      <c r="M228" s="13"/>
    </row>
    <row r="229" spans="1:13" ht="16.5">
      <c r="A229" s="9">
        <f>Compilation!E183</f>
        <v>301</v>
      </c>
      <c r="B229" s="9">
        <f t="shared" si="20"/>
        <v>5.699999999999989</v>
      </c>
      <c r="C229" s="9">
        <f t="shared" si="21"/>
        <v>1.8000000000000114</v>
      </c>
      <c r="D229" s="10" t="str">
        <f>TRIM(Compilation!F183)</f>
        <v>R</v>
      </c>
      <c r="E229" s="11" t="str">
        <f>Compilation!I183</f>
        <v>Rt 414 </v>
      </c>
      <c r="F229" s="32"/>
      <c r="G229" s="45" t="str">
        <f>Compilation!J183</f>
        <v>Deli</v>
      </c>
      <c r="H229" s="3">
        <f t="shared" si="22"/>
      </c>
      <c r="I229" s="3">
        <f t="shared" si="23"/>
        <v>9</v>
      </c>
      <c r="J229" s="12">
        <f>IF(ISNUMBER(FIND("Controle",H229)),MATCH(H229,Controle!B:B,0),"")</f>
      </c>
      <c r="K229" s="7">
        <f t="shared" si="24"/>
        <v>295.3</v>
      </c>
      <c r="L229" s="7" t="str">
        <f t="shared" si="25"/>
        <v>Rt 414 </v>
      </c>
      <c r="M229" s="13"/>
    </row>
    <row r="230" spans="1:13" ht="49.5">
      <c r="A230" s="9">
        <f>Compilation!E184</f>
        <v>306.3</v>
      </c>
      <c r="B230" s="9">
        <f t="shared" si="20"/>
        <v>11</v>
      </c>
      <c r="C230" s="9">
        <f t="shared" si="21"/>
        <v>5.300000000000011</v>
      </c>
      <c r="D230" s="10" t="str">
        <f>TRIM(Compilation!F184)</f>
        <v>***L</v>
      </c>
      <c r="E230" s="11" t="str">
        <f>Compilation!I184</f>
        <v>Rt 3008 / Southside Rd (1st L in Franklindale...just after defunct JJ Deli on right)</v>
      </c>
      <c r="F230" s="32"/>
      <c r="G230" s="45">
        <f>Compilation!J184</f>
      </c>
      <c r="H230" s="3">
        <f t="shared" si="22"/>
      </c>
      <c r="I230" s="3">
        <f t="shared" si="23"/>
        <v>9</v>
      </c>
      <c r="J230" s="12">
        <f>IF(ISNUMBER(FIND("Controle",H230)),MATCH(H230,Controle!B:B,0),"")</f>
      </c>
      <c r="K230" s="7">
        <f t="shared" si="24"/>
        <v>295.3</v>
      </c>
      <c r="L230" s="7" t="str">
        <f t="shared" si="25"/>
        <v>Rt 3008 / Southside Rd (1st L in Franklindale...just after defunct JJ Deli on right)</v>
      </c>
      <c r="M230" s="13"/>
    </row>
    <row r="231" spans="1:13" ht="33">
      <c r="A231" s="9">
        <f>Compilation!E185</f>
        <v>322.6</v>
      </c>
      <c r="B231" s="9">
        <f t="shared" si="20"/>
        <v>27.30000000000001</v>
      </c>
      <c r="C231" s="9">
        <f t="shared" si="21"/>
        <v>16.30000000000001</v>
      </c>
      <c r="D231" s="10" t="str">
        <f>TRIM(Compilation!F185)</f>
        <v>R</v>
      </c>
      <c r="E231" s="11" t="str">
        <f>Compilation!I185</f>
        <v>(SS) Rt 154 / Minnequa Ave (Lake Hill Rd on left)</v>
      </c>
      <c r="F231" s="32"/>
      <c r="G231" s="45">
        <f>Compilation!J185</f>
      </c>
      <c r="H231" s="3">
        <f t="shared" si="22"/>
      </c>
      <c r="I231" s="3">
        <f t="shared" si="23"/>
        <v>9</v>
      </c>
      <c r="J231" s="12">
        <f>IF(ISNUMBER(FIND("Controle",H231)),MATCH(H231,Controle!B:B,0),"")</f>
      </c>
      <c r="K231" s="7">
        <f t="shared" si="24"/>
        <v>295.3</v>
      </c>
      <c r="L231" s="7" t="str">
        <f t="shared" si="25"/>
        <v>(SS) Rt 154 / Minnequa Ave (Lake Hill Rd on left)</v>
      </c>
      <c r="M231" s="13"/>
    </row>
    <row r="232" spans="1:13" ht="33.75" thickBot="1">
      <c r="A232" s="9">
        <f>Compilation!E186</f>
        <v>323</v>
      </c>
      <c r="B232" s="9">
        <f t="shared" si="20"/>
        <v>27.69999999999999</v>
      </c>
      <c r="C232" s="9">
        <f t="shared" si="21"/>
        <v>0.39999999999997726</v>
      </c>
      <c r="D232" s="10" t="str">
        <f>TRIM(Compilation!F186)</f>
        <v>STOP</v>
      </c>
      <c r="E232" s="11" t="str">
        <f>Compilation!I186</f>
        <v>Controle Exxon Acorn Jct Rt 414 / Minnequa Ave [Canton] </v>
      </c>
      <c r="F232" s="32"/>
      <c r="G232" s="45" t="str">
        <f>Compilation!J186</f>
        <v>MiniMart</v>
      </c>
      <c r="H232" s="3" t="str">
        <f t="shared" si="22"/>
        <v>Controle 10</v>
      </c>
      <c r="I232" s="3">
        <f t="shared" si="23"/>
        <v>10</v>
      </c>
      <c r="J232" s="12">
        <f>IF(ISNUMBER(FIND("Controle",H232)),MATCH(H232,Controle!B:B,0),"")</f>
        <v>30</v>
      </c>
      <c r="K232" s="7">
        <f t="shared" si="24"/>
        <v>295.3</v>
      </c>
      <c r="L232" s="7" t="str">
        <f t="shared" si="25"/>
        <v>Controle Exxon Acorn Jct Rt 414 / Minnequa Ave [Canton] </v>
      </c>
      <c r="M232" s="13"/>
    </row>
    <row r="233" spans="1:12" ht="16.5">
      <c r="A233" s="53" t="str">
        <f>INDEX(Controle!H:H,Cue!J232)&amp;" "</f>
        <v>Controle 10 Acorn Market (570) 673-8404  </v>
      </c>
      <c r="B233" s="54"/>
      <c r="C233" s="54"/>
      <c r="D233" s="54"/>
      <c r="E233" s="55"/>
      <c r="F233" s="30"/>
      <c r="G233" s="43"/>
      <c r="H233" s="3">
        <f>IF(ISNUMBER(FIND("Controle",E233)),LEFT(E233,FIND(" ",E233,10)-1),"")</f>
      </c>
      <c r="I233" s="3">
        <f>IF(LEFT(E233,8)="Controle",I232+1,I232)</f>
        <v>10</v>
      </c>
      <c r="J233" s="12">
        <f>IF(ISNUMBER(FIND("Controle",H233)),MATCH(H233,Controle!B:B,0),"")</f>
      </c>
      <c r="K233" s="7">
        <f>IF(B232="Leg",A233,K232)</f>
        <v>295.3</v>
      </c>
      <c r="L233" s="7">
        <f t="shared" si="25"/>
        <v>0</v>
      </c>
    </row>
    <row r="234" spans="1:12" ht="16.5">
      <c r="A234" s="50" t="str">
        <f>INDEX(Controle!H:H,Cue!J232+1)&amp;" "</f>
        <v>44 Main St, Canton, PA </v>
      </c>
      <c r="B234" s="51"/>
      <c r="C234" s="51"/>
      <c r="D234" s="51"/>
      <c r="E234" s="52"/>
      <c r="F234" s="30"/>
      <c r="G234" s="43"/>
      <c r="H234" s="3">
        <f>IF(ISNUMBER(FIND("Controle",E234)),LEFT(E234,FIND(" ",E234,10)-1),"")</f>
      </c>
      <c r="I234" s="3">
        <f>IF(LEFT(E234,8)="Controle",I233+1,I233)</f>
        <v>10</v>
      </c>
      <c r="J234" s="12">
        <f>IF(ISNUMBER(FIND("Controle",H234)),MATCH(H234,Controle!B:B,0),"")</f>
      </c>
      <c r="K234" s="7">
        <f>IF(B233="Leg",A234,K233)</f>
        <v>295.3</v>
      </c>
      <c r="L234" s="7">
        <f t="shared" si="25"/>
        <v>0</v>
      </c>
    </row>
    <row r="235" spans="1:13" ht="17.25" thickBot="1">
      <c r="A235" s="47" t="str">
        <f>INDEX(Controle!H:H,Cue!J232+2)&amp;" "</f>
        <v>open: 08/08 20:08  close: 08/09 14:40 </v>
      </c>
      <c r="B235" s="48"/>
      <c r="C235" s="48"/>
      <c r="D235" s="48"/>
      <c r="E235" s="49"/>
      <c r="F235" s="31"/>
      <c r="G235" s="44"/>
      <c r="H235" s="3">
        <f>IF(ISNUMBER(FIND("Controle",E235)),LEFT(E235,FIND(" ",E235,10)-1),"")</f>
      </c>
      <c r="I235" s="3">
        <f>IF(LEFT(E235,8)="Controle",I234+1,I234)</f>
        <v>10</v>
      </c>
      <c r="J235" s="12">
        <f>IF(ISNUMBER(FIND("Controle",H235)),MATCH(H235,Controle!B:B,0),"")</f>
      </c>
      <c r="K235" s="7">
        <f>IF(B234="Leg",A235,K234)</f>
        <v>295.3</v>
      </c>
      <c r="L235" s="7">
        <f t="shared" si="25"/>
        <v>0</v>
      </c>
      <c r="M235" s="8"/>
    </row>
    <row r="236" spans="1:13" ht="33">
      <c r="A236" s="9">
        <f>Compilation!E187</f>
        <v>323</v>
      </c>
      <c r="B236" s="9">
        <f t="shared" si="20"/>
        <v>0</v>
      </c>
      <c r="C236" s="9">
        <f>A236-A232</f>
        <v>0</v>
      </c>
      <c r="D236" s="10" t="str">
        <f>TRIM(Compilation!F187)</f>
        <v>Turn</v>
      </c>
      <c r="E236" s="11" t="str">
        <f>Compilation!I187</f>
        <v>Leave controle turning left on Main St / Rt 414 West</v>
      </c>
      <c r="F236" s="32"/>
      <c r="G236" s="45">
        <f>Compilation!J187</f>
      </c>
      <c r="H236" s="3">
        <f t="shared" si="22"/>
      </c>
      <c r="I236" s="3">
        <f>IF(LEFT(E236,8)="Controle",I232+1,I232)</f>
        <v>10</v>
      </c>
      <c r="J236" s="12">
        <f>IF(ISNUMBER(FIND("Controle",H236)),MATCH(H236,Controle!B:B,0),"")</f>
      </c>
      <c r="K236" s="7">
        <f>IF(H232&lt;&gt;"",A236,K232)</f>
        <v>323</v>
      </c>
      <c r="L236" s="7" t="str">
        <f t="shared" si="25"/>
        <v>Leave controle turning left on Main St / Rt 414 West</v>
      </c>
      <c r="M236" s="13"/>
    </row>
    <row r="237" spans="1:13" ht="33">
      <c r="A237" s="9">
        <f>Compilation!E188</f>
        <v>323.2</v>
      </c>
      <c r="B237" s="9">
        <f t="shared" si="20"/>
        <v>0.19999999999998863</v>
      </c>
      <c r="C237" s="9">
        <f t="shared" si="21"/>
        <v>0.19999999999998863</v>
      </c>
      <c r="D237" s="10" t="str">
        <f>TRIM(Compilation!F188)</f>
        <v>T L</v>
      </c>
      <c r="E237" s="11" t="str">
        <f>Compilation!I188</f>
        <v>(TFL) TRO Rt 414 West  / Sullivan St</v>
      </c>
      <c r="F237" s="32"/>
      <c r="G237" s="45">
        <f>Compilation!J188</f>
      </c>
      <c r="H237" s="3">
        <f t="shared" si="22"/>
      </c>
      <c r="I237" s="3">
        <f t="shared" si="23"/>
        <v>10</v>
      </c>
      <c r="J237" s="12">
        <f>IF(ISNUMBER(FIND("Controle",H237)),MATCH(H237,Controle!B:B,0),"")</f>
      </c>
      <c r="K237" s="7">
        <f t="shared" si="24"/>
        <v>323</v>
      </c>
      <c r="L237" s="7" t="str">
        <f t="shared" si="25"/>
        <v>(TFL) TRO Rt 414 West  / Sullivan St</v>
      </c>
      <c r="M237" s="13"/>
    </row>
    <row r="238" spans="1:13" ht="33">
      <c r="A238" s="9">
        <f>Compilation!E189</f>
        <v>324.7</v>
      </c>
      <c r="B238" s="9">
        <f t="shared" si="20"/>
        <v>1.6999999999999886</v>
      </c>
      <c r="C238" s="9">
        <f t="shared" si="21"/>
        <v>1.5</v>
      </c>
      <c r="D238" s="10" t="str">
        <f>TRIM(Compilation!F189)</f>
        <v>R</v>
      </c>
      <c r="E238" s="11" t="str">
        <f>Compilation!I189</f>
        <v>TRO Rt 414 (Rt 14 continues straight) </v>
      </c>
      <c r="F238" s="32"/>
      <c r="G238" s="45" t="str">
        <f>Compilation!J189</f>
        <v>MiniMart limited services ahead</v>
      </c>
      <c r="H238" s="3">
        <f t="shared" si="22"/>
      </c>
      <c r="I238" s="3">
        <f t="shared" si="23"/>
        <v>10</v>
      </c>
      <c r="J238" s="12">
        <f>IF(ISNUMBER(FIND("Controle",H238)),MATCH(H238,Controle!B:B,0),"")</f>
      </c>
      <c r="K238" s="7">
        <f t="shared" si="24"/>
        <v>323</v>
      </c>
      <c r="L238" s="7" t="str">
        <f t="shared" si="25"/>
        <v>TRO Rt 414 (Rt 14 continues straight) </v>
      </c>
      <c r="M238" s="13"/>
    </row>
    <row r="239" spans="1:13" ht="33">
      <c r="A239" s="9">
        <f>Compilation!E190</f>
        <v>328.1</v>
      </c>
      <c r="B239" s="9">
        <f t="shared" si="20"/>
        <v>5.100000000000023</v>
      </c>
      <c r="C239" s="9">
        <f t="shared" si="21"/>
        <v>3.400000000000034</v>
      </c>
      <c r="D239" s="10" t="str">
        <f>TRIM(Compilation!F190)</f>
        <v>B L</v>
      </c>
      <c r="E239" s="11" t="str">
        <f>Compilation!I190</f>
        <v>TRO Rt 414 (at Gleason Rd) [Gleason]</v>
      </c>
      <c r="F239" s="32"/>
      <c r="G239" s="45">
        <f>Compilation!J190</f>
      </c>
      <c r="H239" s="3">
        <f t="shared" si="22"/>
      </c>
      <c r="I239" s="3">
        <f t="shared" si="23"/>
        <v>10</v>
      </c>
      <c r="J239" s="12">
        <f>IF(ISNUMBER(FIND("Controle",H239)),MATCH(H239,Controle!B:B,0),"")</f>
      </c>
      <c r="K239" s="7">
        <f t="shared" si="24"/>
        <v>323</v>
      </c>
      <c r="L239" s="7" t="str">
        <f t="shared" si="25"/>
        <v>TRO Rt 414 (at Gleason Rd) [Gleason]</v>
      </c>
      <c r="M239" s="13"/>
    </row>
    <row r="240" spans="1:13" ht="49.5">
      <c r="A240" s="9">
        <f>Compilation!E191</f>
        <v>331</v>
      </c>
      <c r="B240" s="9">
        <f t="shared" si="20"/>
        <v>8</v>
      </c>
      <c r="C240" s="9">
        <f t="shared" si="21"/>
        <v>2.8999999999999773</v>
      </c>
      <c r="D240" s="10" t="str">
        <f>TRIM(Compilation!F191)</f>
        <v>X</v>
      </c>
      <c r="E240" s="11" t="str">
        <f>Compilation!I191</f>
        <v>Ogdensburg Rd TRO Rt 414 CAUTION steep twisty descents ahead </v>
      </c>
      <c r="F240" s="32"/>
      <c r="G240" s="45" t="str">
        <f>Compilation!J191</f>
        <v>Bar (water ice)</v>
      </c>
      <c r="H240" s="3">
        <f t="shared" si="22"/>
      </c>
      <c r="I240" s="3">
        <f t="shared" si="23"/>
        <v>10</v>
      </c>
      <c r="J240" s="12">
        <f>IF(ISNUMBER(FIND("Controle",H240)),MATCH(H240,Controle!B:B,0),"")</f>
      </c>
      <c r="K240" s="7">
        <f t="shared" si="24"/>
        <v>323</v>
      </c>
      <c r="L240" s="7" t="str">
        <f t="shared" si="25"/>
        <v>Ogdensburg Rd TRO Rt 414 CAUTION steep twisty descents ahead </v>
      </c>
      <c r="M240" s="13"/>
    </row>
    <row r="241" spans="1:13" ht="16.5">
      <c r="A241" s="9">
        <f>Compilation!E192</f>
        <v>338.9</v>
      </c>
      <c r="B241" s="9">
        <f t="shared" si="20"/>
        <v>15.899999999999977</v>
      </c>
      <c r="C241" s="9">
        <f t="shared" si="21"/>
        <v>7.899999999999977</v>
      </c>
      <c r="D241" s="10" t="str">
        <f>TRIM(Compilation!F192)</f>
        <v>B L</v>
      </c>
      <c r="E241" s="11" t="str">
        <f>Compilation!I192</f>
        <v>FMR TRO Rt 414 at Old Mill Rd</v>
      </c>
      <c r="F241" s="32"/>
      <c r="G241" s="45">
        <f>Compilation!J192</f>
      </c>
      <c r="H241" s="3">
        <f t="shared" si="22"/>
      </c>
      <c r="I241" s="3">
        <f t="shared" si="23"/>
        <v>10</v>
      </c>
      <c r="J241" s="12">
        <f>IF(ISNUMBER(FIND("Controle",H241)),MATCH(H241,Controle!B:B,0),"")</f>
      </c>
      <c r="K241" s="7">
        <f t="shared" si="24"/>
        <v>323</v>
      </c>
      <c r="L241" s="7" t="str">
        <f t="shared" si="25"/>
        <v>FMR TRO Rt 414 at Old Mill Rd</v>
      </c>
      <c r="M241" s="13"/>
    </row>
    <row r="242" spans="1:13" ht="16.5">
      <c r="A242" s="9">
        <f>Compilation!E193</f>
        <v>339.3</v>
      </c>
      <c r="B242" s="9">
        <f t="shared" si="20"/>
        <v>16.30000000000001</v>
      </c>
      <c r="C242" s="9">
        <f t="shared" si="21"/>
        <v>0.4000000000000341</v>
      </c>
      <c r="D242" s="10" t="str">
        <f>TRIM(Compilation!F193)</f>
        <v>T L</v>
      </c>
      <c r="E242" s="11" t="str">
        <f>Compilation!I193</f>
        <v>TRO Rt 414</v>
      </c>
      <c r="F242" s="32"/>
      <c r="G242" s="45">
        <f>Compilation!J193</f>
      </c>
      <c r="H242" s="3">
        <f t="shared" si="22"/>
      </c>
      <c r="I242" s="3">
        <f t="shared" si="23"/>
        <v>10</v>
      </c>
      <c r="J242" s="12">
        <f>IF(ISNUMBER(FIND("Controle",H242)),MATCH(H242,Controle!B:B,0),"")</f>
      </c>
      <c r="K242" s="7">
        <f t="shared" si="24"/>
        <v>323</v>
      </c>
      <c r="L242" s="7" t="str">
        <f t="shared" si="25"/>
        <v>TRO Rt 414</v>
      </c>
      <c r="M242" s="13"/>
    </row>
    <row r="243" spans="1:13" ht="33">
      <c r="A243" s="9">
        <f>Compilation!E194</f>
        <v>339.7</v>
      </c>
      <c r="B243" s="9">
        <f t="shared" si="20"/>
        <v>16.69999999999999</v>
      </c>
      <c r="C243" s="9">
        <f t="shared" si="21"/>
        <v>0.39999999999997726</v>
      </c>
      <c r="D243" s="10" t="str">
        <f>TRIM(Compilation!F194)</f>
        <v>Straight</v>
      </c>
      <c r="E243" s="11" t="str">
        <f>Compilation!I194</f>
        <v>Blockhouse Rd [Liberty] (leaving Rt 414) </v>
      </c>
      <c r="F243" s="32"/>
      <c r="G243" s="45" t="str">
        <f>Compilation!J194</f>
        <v>stores 1 block off-course left</v>
      </c>
      <c r="H243" s="3">
        <f t="shared" si="22"/>
      </c>
      <c r="I243" s="3">
        <f t="shared" si="23"/>
        <v>10</v>
      </c>
      <c r="J243" s="12">
        <f>IF(ISNUMBER(FIND("Controle",H243)),MATCH(H243,Controle!B:B,0),"")</f>
      </c>
      <c r="K243" s="7">
        <f t="shared" si="24"/>
        <v>323</v>
      </c>
      <c r="L243" s="7" t="str">
        <f t="shared" si="25"/>
        <v>Blockhouse Rd [Liberty] (leaving Rt 414) </v>
      </c>
      <c r="M243" s="13"/>
    </row>
    <row r="244" spans="1:13" ht="16.5">
      <c r="A244" s="9">
        <f>Compilation!E195</f>
        <v>345.1</v>
      </c>
      <c r="B244" s="9">
        <f t="shared" si="20"/>
        <v>22.100000000000023</v>
      </c>
      <c r="C244" s="9">
        <f t="shared" si="21"/>
        <v>5.400000000000034</v>
      </c>
      <c r="D244" s="10" t="str">
        <f>TRIM(Compilation!F195)</f>
        <v>Pass</v>
      </c>
      <c r="E244" s="11" t="str">
        <f>Compilation!I195</f>
        <v>Rt 15 junction (now on  Rt 284)</v>
      </c>
      <c r="F244" s="32"/>
      <c r="G244" s="45">
        <f>Compilation!J195</f>
      </c>
      <c r="H244" s="3">
        <f t="shared" si="22"/>
      </c>
      <c r="I244" s="3">
        <f t="shared" si="23"/>
        <v>10</v>
      </c>
      <c r="J244" s="12">
        <f>IF(ISNUMBER(FIND("Controle",H244)),MATCH(H244,Controle!B:B,0),"")</f>
      </c>
      <c r="K244" s="7">
        <f t="shared" si="24"/>
        <v>323</v>
      </c>
      <c r="L244" s="7" t="str">
        <f t="shared" si="25"/>
        <v>Rt 15 junction (now on  Rt 284)</v>
      </c>
      <c r="M244" s="13"/>
    </row>
    <row r="245" spans="1:13" ht="16.5">
      <c r="A245" s="9">
        <f>Compilation!E196</f>
        <v>353.4</v>
      </c>
      <c r="B245" s="9">
        <f t="shared" si="20"/>
        <v>30.399999999999977</v>
      </c>
      <c r="C245" s="9">
        <f t="shared" si="21"/>
        <v>8.299999999999955</v>
      </c>
      <c r="D245" s="10" t="str">
        <f>TRIM(Compilation!F196)</f>
        <v>T L</v>
      </c>
      <c r="E245" s="11" t="str">
        <f>Compilation!I196</f>
        <v>Rt 287 [English Center]</v>
      </c>
      <c r="F245" s="32"/>
      <c r="G245" s="45">
        <f>Compilation!J196</f>
      </c>
      <c r="H245" s="3">
        <f t="shared" si="22"/>
      </c>
      <c r="I245" s="3">
        <f t="shared" si="23"/>
        <v>10</v>
      </c>
      <c r="J245" s="12">
        <f>IF(ISNUMBER(FIND("Controle",H245)),MATCH(H245,Controle!B:B,0),"")</f>
      </c>
      <c r="K245" s="7">
        <f t="shared" si="24"/>
        <v>323</v>
      </c>
      <c r="L245" s="7" t="str">
        <f t="shared" si="25"/>
        <v>Rt 287 [English Center]</v>
      </c>
      <c r="M245" s="13"/>
    </row>
    <row r="246" spans="1:13" ht="49.5">
      <c r="A246" s="9">
        <f>Compilation!E197</f>
        <v>354.5</v>
      </c>
      <c r="B246" s="9">
        <f t="shared" si="20"/>
        <v>31.5</v>
      </c>
      <c r="C246" s="9">
        <f t="shared" si="21"/>
        <v>1.1000000000000227</v>
      </c>
      <c r="D246" s="10" t="str">
        <f>TRIM(Compilation!F197)</f>
        <v>1st R</v>
      </c>
      <c r="E246" s="11" t="str">
        <f>Compilation!I197</f>
        <v>Rt 4001 / Little Pine Creek Rd (follow Little Pine Creek State Park) </v>
      </c>
      <c r="F246" s="32"/>
      <c r="G246" s="45" t="str">
        <f>Compilation!J197</f>
        <v>bar (water ice)</v>
      </c>
      <c r="H246" s="3">
        <f t="shared" si="22"/>
      </c>
      <c r="I246" s="3">
        <f t="shared" si="23"/>
        <v>10</v>
      </c>
      <c r="J246" s="12">
        <f>IF(ISNUMBER(FIND("Controle",H246)),MATCH(H246,Controle!B:B,0),"")</f>
      </c>
      <c r="K246" s="7">
        <f t="shared" si="24"/>
        <v>323</v>
      </c>
      <c r="L246" s="7" t="str">
        <f t="shared" si="25"/>
        <v>Rt 4001 / Little Pine Creek Rd (follow Little Pine Creek State Park) </v>
      </c>
      <c r="M246" s="13"/>
    </row>
    <row r="247" spans="1:13" ht="49.5">
      <c r="A247" s="9">
        <f>Compilation!E198</f>
        <v>354.9</v>
      </c>
      <c r="B247" s="9">
        <f t="shared" si="20"/>
        <v>31.899999999999977</v>
      </c>
      <c r="C247" s="9">
        <f t="shared" si="21"/>
        <v>0.39999999999997726</v>
      </c>
      <c r="D247" s="10" t="str">
        <f>TRIM(Compilation!F198)</f>
        <v>1st L</v>
      </c>
      <c r="E247" s="11" t="str">
        <f>Compilation!I198</f>
        <v>TRO Rt 4001 (Caution: metal bridge).."Little Pine Creek State Park"</v>
      </c>
      <c r="F247" s="32"/>
      <c r="G247" s="45">
        <f>Compilation!J198</f>
      </c>
      <c r="H247" s="3">
        <f t="shared" si="22"/>
      </c>
      <c r="I247" s="3">
        <f t="shared" si="23"/>
        <v>10</v>
      </c>
      <c r="J247" s="12">
        <f>IF(ISNUMBER(FIND("Controle",H247)),MATCH(H247,Controle!B:B,0),"")</f>
      </c>
      <c r="K247" s="7">
        <f t="shared" si="24"/>
        <v>323</v>
      </c>
      <c r="L247" s="7" t="str">
        <f t="shared" si="25"/>
        <v>TRO Rt 4001 (Caution: metal bridge).."Little Pine Creek State Park"</v>
      </c>
      <c r="M247" s="13"/>
    </row>
    <row r="248" spans="1:13" ht="33">
      <c r="A248" s="9">
        <f>Compilation!E199</f>
        <v>363.5</v>
      </c>
      <c r="B248" s="9">
        <f t="shared" si="20"/>
        <v>40.5</v>
      </c>
      <c r="C248" s="9">
        <f t="shared" si="21"/>
        <v>8.600000000000023</v>
      </c>
      <c r="D248" s="10" t="str">
        <f>TRIM(Compilation!F199)</f>
        <v>Pass</v>
      </c>
      <c r="E248" s="11" t="str">
        <f>Compilation!I199</f>
        <v>Ice Cream cone Restaurant (on left at mile marker 70)</v>
      </c>
      <c r="F248" s="32"/>
      <c r="G248" s="45" t="str">
        <f>Compilation!J199</f>
        <v>Restaurant</v>
      </c>
      <c r="H248" s="3">
        <f t="shared" si="22"/>
      </c>
      <c r="I248" s="3">
        <f t="shared" si="23"/>
        <v>10</v>
      </c>
      <c r="J248" s="12">
        <f>IF(ISNUMBER(FIND("Controle",H248)),MATCH(H248,Controle!B:B,0),"")</f>
      </c>
      <c r="K248" s="7">
        <f t="shared" si="24"/>
        <v>323</v>
      </c>
      <c r="L248" s="7" t="str">
        <f t="shared" si="25"/>
        <v>Ice Cream cone Restaurant (on left at mile marker 70)</v>
      </c>
      <c r="M248" s="13"/>
    </row>
    <row r="249" spans="1:13" ht="16.5">
      <c r="A249" s="9">
        <f>Compilation!E200</f>
        <v>366.2</v>
      </c>
      <c r="B249" s="9">
        <f t="shared" si="20"/>
        <v>43.19999999999999</v>
      </c>
      <c r="C249" s="9">
        <f t="shared" si="21"/>
        <v>2.6999999999999886</v>
      </c>
      <c r="D249" s="10" t="str">
        <f>TRIM(Compilation!F200)</f>
        <v>T R</v>
      </c>
      <c r="E249" s="11" t="str">
        <f>Compilation!I200</f>
        <v>Rt 44 [Waterville]</v>
      </c>
      <c r="F249" s="32"/>
      <c r="G249" s="45">
        <f>Compilation!J200</f>
      </c>
      <c r="H249" s="3">
        <f t="shared" si="22"/>
      </c>
      <c r="I249" s="3">
        <f t="shared" si="23"/>
        <v>10</v>
      </c>
      <c r="J249" s="12">
        <f>IF(ISNUMBER(FIND("Controle",H249)),MATCH(H249,Controle!B:B,0),"")</f>
      </c>
      <c r="K249" s="7">
        <f t="shared" si="24"/>
        <v>323</v>
      </c>
      <c r="L249" s="7" t="str">
        <f t="shared" si="25"/>
        <v>Rt 44 [Waterville]</v>
      </c>
      <c r="M249" s="13"/>
    </row>
    <row r="250" spans="1:13" ht="33.75" thickBot="1">
      <c r="A250" s="9">
        <f>Compilation!E201</f>
        <v>366.3</v>
      </c>
      <c r="B250" s="9">
        <f t="shared" si="20"/>
        <v>43.30000000000001</v>
      </c>
      <c r="C250" s="9">
        <f t="shared" si="21"/>
        <v>0.10000000000002274</v>
      </c>
      <c r="D250" s="10" t="str">
        <f>TRIM(Compilation!F201)</f>
        <v>STOP</v>
      </c>
      <c r="E250" s="11" t="str">
        <f>Compilation!I201</f>
        <v>Controle McConnell's Country Store on left.."Citgo" </v>
      </c>
      <c r="F250" s="32"/>
      <c r="G250" s="45" t="str">
        <f>Compilation!J201</f>
        <v>General store</v>
      </c>
      <c r="H250" s="3" t="str">
        <f t="shared" si="22"/>
        <v>Controle 11</v>
      </c>
      <c r="I250" s="3">
        <f t="shared" si="23"/>
        <v>11</v>
      </c>
      <c r="J250" s="12">
        <f>IF(ISNUMBER(FIND("Controle",H250)),MATCH(H250,Controle!B:B,0),"")</f>
        <v>33</v>
      </c>
      <c r="K250" s="7">
        <f t="shared" si="24"/>
        <v>323</v>
      </c>
      <c r="L250" s="7" t="str">
        <f t="shared" si="25"/>
        <v>Controle McConnell's Country Store on left.."Citgo" </v>
      </c>
      <c r="M250" s="13"/>
    </row>
    <row r="251" spans="1:12" ht="16.5">
      <c r="A251" s="53" t="str">
        <f>INDEX(Controle!H:H,Cue!J250)&amp;" "</f>
        <v>Controle 11 McConnell's Store (570) 753-8241 </v>
      </c>
      <c r="B251" s="54"/>
      <c r="C251" s="54"/>
      <c r="D251" s="54"/>
      <c r="E251" s="55"/>
      <c r="F251" s="30"/>
      <c r="G251" s="43"/>
      <c r="H251" s="3">
        <f>IF(ISNUMBER(FIND("Controle",E251)),LEFT(E251,FIND(" ",E251,10)-1),"")</f>
      </c>
      <c r="I251" s="3">
        <f>IF(LEFT(E251,8)="Controle",I250+1,I250)</f>
        <v>11</v>
      </c>
      <c r="J251" s="12">
        <f>IF(ISNUMBER(FIND("Controle",H251)),MATCH(H251,Controle!B:B,0),"")</f>
      </c>
      <c r="K251" s="7">
        <f>IF(B250="Leg",A251,K250)</f>
        <v>323</v>
      </c>
      <c r="L251" s="7">
        <f>E251</f>
        <v>0</v>
      </c>
    </row>
    <row r="252" spans="1:12" ht="16.5">
      <c r="A252" s="50" t="str">
        <f>INDEX(Controle!H:H,Cue!J250+1)&amp;" "</f>
        <v>10853 Rt 44, Waterville, PA </v>
      </c>
      <c r="B252" s="51"/>
      <c r="C252" s="51"/>
      <c r="D252" s="51"/>
      <c r="E252" s="52"/>
      <c r="F252" s="30"/>
      <c r="G252" s="43"/>
      <c r="H252" s="3">
        <f>IF(ISNUMBER(FIND("Controle",E252)),LEFT(E252,FIND(" ",E252,10)-1),"")</f>
      </c>
      <c r="I252" s="3">
        <f>IF(LEFT(E252,8)="Controle",I251+1,I251)</f>
        <v>11</v>
      </c>
      <c r="J252" s="12">
        <f>IF(ISNUMBER(FIND("Controle",H252)),MATCH(H252,Controle!B:B,0),"")</f>
      </c>
      <c r="K252" s="7">
        <f>IF(B251="Leg",A252,K251)</f>
        <v>323</v>
      </c>
      <c r="L252" s="7">
        <f>E252</f>
        <v>0</v>
      </c>
    </row>
    <row r="253" spans="1:13" ht="17.25" thickBot="1">
      <c r="A253" s="47" t="str">
        <f>INDEX(Controle!H:H,Cue!J250+2)&amp;" "</f>
        <v>open: 08/08 22:26  close: 08/09 19:16 </v>
      </c>
      <c r="B253" s="48"/>
      <c r="C253" s="48"/>
      <c r="D253" s="48"/>
      <c r="E253" s="49"/>
      <c r="F253" s="31"/>
      <c r="G253" s="44"/>
      <c r="H253" s="3">
        <f>IF(ISNUMBER(FIND("Controle",E253)),LEFT(E253,FIND(" ",E253,10)-1),"")</f>
      </c>
      <c r="I253" s="3">
        <f>IF(LEFT(E253,8)="Controle",I252+1,I252)</f>
        <v>11</v>
      </c>
      <c r="J253" s="12">
        <f>IF(ISNUMBER(FIND("Controle",H253)),MATCH(H253,Controle!B:B,0),"")</f>
      </c>
      <c r="K253" s="7">
        <f>IF(B252="Leg",A253,K252)</f>
        <v>323</v>
      </c>
      <c r="L253" s="7">
        <f>E253</f>
        <v>0</v>
      </c>
      <c r="M253" s="8"/>
    </row>
    <row r="254" spans="1:13" ht="33">
      <c r="A254" s="9">
        <f>Compilation!E202</f>
        <v>366.4</v>
      </c>
      <c r="B254" s="9">
        <f t="shared" si="20"/>
        <v>0</v>
      </c>
      <c r="C254" s="9">
        <f>A254-A250</f>
        <v>0.0999999999999659</v>
      </c>
      <c r="D254" s="10" t="str">
        <f>TRIM(Compilation!F202)</f>
        <v>Backtrack</v>
      </c>
      <c r="E254" s="11" t="str">
        <f>Compilation!I202</f>
        <v>Leave Parking Lot turning right on Rt 44 (reverse direction)</v>
      </c>
      <c r="F254" s="32"/>
      <c r="G254" s="45">
        <f>Compilation!J202</f>
      </c>
      <c r="H254" s="3">
        <f t="shared" si="22"/>
      </c>
      <c r="I254" s="3">
        <f>IF(LEFT(E254,8)="Controle",I250+1,I250)</f>
        <v>11</v>
      </c>
      <c r="J254" s="12">
        <f>IF(ISNUMBER(FIND("Controle",H254)),MATCH(H254,Controle!B:B,0),"")</f>
      </c>
      <c r="K254" s="7">
        <f>IF(H250&lt;&gt;"",A254,K250)</f>
        <v>366.4</v>
      </c>
      <c r="L254" s="7" t="str">
        <f t="shared" si="25"/>
        <v>Leave Parking Lot turning right on Rt 44 (reverse direction)</v>
      </c>
      <c r="M254" s="13"/>
    </row>
    <row r="255" spans="1:13" ht="16.5">
      <c r="A255" s="9">
        <f>Compilation!E203</f>
        <v>377.2</v>
      </c>
      <c r="B255" s="9">
        <f t="shared" si="20"/>
        <v>10.800000000000011</v>
      </c>
      <c r="C255" s="9">
        <f t="shared" si="21"/>
        <v>10.800000000000011</v>
      </c>
      <c r="D255" s="10" t="str">
        <f>TRIM(Compilation!F203)</f>
        <v>X</v>
      </c>
      <c r="E255" s="11" t="str">
        <f>Compilation!I203</f>
        <v>Rt 220 overpass</v>
      </c>
      <c r="F255" s="32"/>
      <c r="G255" s="45">
        <f>Compilation!J203</f>
      </c>
      <c r="H255" s="3">
        <f t="shared" si="22"/>
      </c>
      <c r="I255" s="3">
        <f t="shared" si="23"/>
        <v>11</v>
      </c>
      <c r="J255" s="12">
        <f>IF(ISNUMBER(FIND("Controle",H255)),MATCH(H255,Controle!B:B,0),"")</f>
      </c>
      <c r="K255" s="7">
        <f t="shared" si="24"/>
        <v>366.4</v>
      </c>
      <c r="L255" s="7" t="str">
        <f t="shared" si="25"/>
        <v>Rt 220 overpass</v>
      </c>
      <c r="M255" s="13"/>
    </row>
    <row r="256" spans="1:13" ht="16.5">
      <c r="A256" s="9">
        <f>Compilation!E204</f>
        <v>377.4</v>
      </c>
      <c r="B256" s="9">
        <f t="shared" si="20"/>
        <v>11</v>
      </c>
      <c r="C256" s="9">
        <f t="shared" si="21"/>
        <v>0.19999999999998863</v>
      </c>
      <c r="D256" s="10" t="str">
        <f>TRIM(Compilation!F204)</f>
        <v>R</v>
      </c>
      <c r="E256" s="11" t="str">
        <f>Compilation!I204</f>
        <v>(SS) Central Ave </v>
      </c>
      <c r="F256" s="32"/>
      <c r="G256" s="45" t="str">
        <f>Compilation!J204</f>
        <v>Stores</v>
      </c>
      <c r="H256" s="3">
        <f t="shared" si="22"/>
      </c>
      <c r="I256" s="3">
        <f t="shared" si="23"/>
        <v>11</v>
      </c>
      <c r="J256" s="12">
        <f>IF(ISNUMBER(FIND("Controle",H256)),MATCH(H256,Controle!B:B,0),"")</f>
      </c>
      <c r="K256" s="7">
        <f t="shared" si="24"/>
        <v>366.4</v>
      </c>
      <c r="L256" s="7" t="str">
        <f t="shared" si="25"/>
        <v>(SS) Central Ave </v>
      </c>
      <c r="M256" s="13"/>
    </row>
    <row r="257" spans="1:13" ht="33">
      <c r="A257" s="9">
        <f>Compilation!E205</f>
        <v>378.8</v>
      </c>
      <c r="B257" s="9">
        <f t="shared" si="20"/>
        <v>12.400000000000034</v>
      </c>
      <c r="C257" s="9">
        <f t="shared" si="21"/>
        <v>1.400000000000034</v>
      </c>
      <c r="D257" s="10" t="str">
        <f>TRIM(Compilation!F205)</f>
        <v>B L</v>
      </c>
      <c r="E257" s="11" t="str">
        <f>Compilation!I205</f>
        <v>FMR TRO (unmarked) Central Ave.."To 150"..jct Rich St</v>
      </c>
      <c r="F257" s="32"/>
      <c r="G257" s="45">
        <f>Compilation!J205</f>
      </c>
      <c r="H257" s="3">
        <f t="shared" si="22"/>
      </c>
      <c r="I257" s="3">
        <f t="shared" si="23"/>
        <v>11</v>
      </c>
      <c r="J257" s="12">
        <f>IF(ISNUMBER(FIND("Controle",H257)),MATCH(H257,Controle!B:B,0),"")</f>
      </c>
      <c r="K257" s="7">
        <f t="shared" si="24"/>
        <v>366.4</v>
      </c>
      <c r="L257" s="7" t="str">
        <f t="shared" si="25"/>
        <v>FMR TRO (unmarked) Central Ave.."To 150"..jct Rich St</v>
      </c>
      <c r="M257" s="13"/>
    </row>
    <row r="258" spans="1:13" ht="33">
      <c r="A258" s="9">
        <f>Compilation!E206</f>
        <v>380.2</v>
      </c>
      <c r="B258" s="9">
        <f t="shared" si="20"/>
        <v>13.800000000000011</v>
      </c>
      <c r="C258" s="9">
        <f t="shared" si="21"/>
        <v>1.3999999999999773</v>
      </c>
      <c r="D258" s="10" t="str">
        <f>TRIM(Compilation!F206)</f>
        <v>***L</v>
      </c>
      <c r="E258" s="11" t="str">
        <f>Compilation!I206</f>
        <v>Island Rd / Rt 1002 (veering off of main road)</v>
      </c>
      <c r="F258" s="32"/>
      <c r="G258" s="45">
        <f>Compilation!J206</f>
      </c>
      <c r="H258" s="3">
        <f t="shared" si="22"/>
      </c>
      <c r="I258" s="3">
        <f t="shared" si="23"/>
        <v>11</v>
      </c>
      <c r="J258" s="12">
        <f>IF(ISNUMBER(FIND("Controle",H258)),MATCH(H258,Controle!B:B,0),"")</f>
      </c>
      <c r="K258" s="7">
        <f t="shared" si="24"/>
        <v>366.4</v>
      </c>
      <c r="L258" s="7" t="str">
        <f t="shared" si="25"/>
        <v>Island Rd / Rt 1002 (veering off of main road)</v>
      </c>
      <c r="M258" s="13"/>
    </row>
    <row r="259" spans="1:13" ht="33">
      <c r="A259" s="9">
        <f>Compilation!E207</f>
        <v>385</v>
      </c>
      <c r="B259" s="9">
        <f t="shared" si="20"/>
        <v>18.600000000000023</v>
      </c>
      <c r="C259" s="9">
        <f t="shared" si="21"/>
        <v>4.800000000000011</v>
      </c>
      <c r="D259" s="10" t="str">
        <f>TRIM(Compilation!F207)</f>
        <v>X</v>
      </c>
      <c r="E259" s="11" t="str">
        <f>Compilation!I207</f>
        <v>2nd 'river bridge'..now on E Water St</v>
      </c>
      <c r="F259" s="32"/>
      <c r="G259" s="45">
        <f>Compilation!J207</f>
      </c>
      <c r="H259" s="3">
        <f t="shared" si="22"/>
      </c>
      <c r="I259" s="3">
        <f t="shared" si="23"/>
        <v>11</v>
      </c>
      <c r="J259" s="12">
        <f>IF(ISNUMBER(FIND("Controle",H259)),MATCH(H259,Controle!B:B,0),"")</f>
      </c>
      <c r="K259" s="7">
        <f t="shared" si="24"/>
        <v>366.4</v>
      </c>
      <c r="L259" s="7" t="str">
        <f t="shared" si="25"/>
        <v>2nd 'river bridge'..now on E Water St</v>
      </c>
      <c r="M259" s="13"/>
    </row>
    <row r="260" spans="1:13" ht="42.75">
      <c r="A260" s="9">
        <f>Compilation!E208</f>
        <v>386.5</v>
      </c>
      <c r="B260" s="9">
        <f t="shared" si="20"/>
        <v>20.100000000000023</v>
      </c>
      <c r="C260" s="9">
        <f t="shared" si="21"/>
        <v>1.5</v>
      </c>
      <c r="D260" s="10" t="str">
        <f>TRIM(Compilation!F208)</f>
        <v>X</v>
      </c>
      <c r="E260" s="11" t="str">
        <f>Compilation!I208</f>
        <v>(SS) Jay St TRO Water St / 120 West [Lock Haven] </v>
      </c>
      <c r="F260" s="32"/>
      <c r="G260" s="45" t="str">
        <f>Compilation!J208</f>
        <v>Hotel and many services off-course left</v>
      </c>
      <c r="H260" s="3">
        <f t="shared" si="22"/>
      </c>
      <c r="I260" s="3">
        <f t="shared" si="23"/>
        <v>11</v>
      </c>
      <c r="J260" s="12">
        <f>IF(ISNUMBER(FIND("Controle",H260)),MATCH(H260,Controle!B:B,0),"")</f>
      </c>
      <c r="K260" s="7">
        <f t="shared" si="24"/>
        <v>366.4</v>
      </c>
      <c r="L260" s="7" t="str">
        <f t="shared" si="25"/>
        <v>(SS) Jay St TRO Water St / 120 West [Lock Haven] </v>
      </c>
      <c r="M260" s="13"/>
    </row>
    <row r="261" spans="1:13" ht="33">
      <c r="A261" s="9">
        <f>Compilation!E209</f>
        <v>387.5</v>
      </c>
      <c r="B261" s="9">
        <f t="shared" si="20"/>
        <v>21.100000000000023</v>
      </c>
      <c r="C261" s="9">
        <f t="shared" si="21"/>
        <v>1</v>
      </c>
      <c r="D261" s="10" t="str">
        <f>TRIM(Compilation!F209)</f>
        <v>R</v>
      </c>
      <c r="E261" s="11" t="str">
        <f>Compilation!I209</f>
        <v>(TFL) TRO Rt 120 / Susquehanna Ave</v>
      </c>
      <c r="F261" s="32"/>
      <c r="G261" s="45">
        <f>Compilation!J209</f>
      </c>
      <c r="H261" s="3">
        <f t="shared" si="22"/>
      </c>
      <c r="I261" s="3">
        <f t="shared" si="23"/>
        <v>11</v>
      </c>
      <c r="J261" s="12">
        <f>IF(ISNUMBER(FIND("Controle",H261)),MATCH(H261,Controle!B:B,0),"")</f>
      </c>
      <c r="K261" s="7">
        <f t="shared" si="24"/>
        <v>366.4</v>
      </c>
      <c r="L261" s="7" t="str">
        <f t="shared" si="25"/>
        <v>(TFL) TRO Rt 120 / Susquehanna Ave</v>
      </c>
      <c r="M261" s="13"/>
    </row>
    <row r="262" spans="1:13" ht="33">
      <c r="A262" s="9">
        <f>Compilation!E210</f>
        <v>387.9</v>
      </c>
      <c r="B262" s="9">
        <f t="shared" si="20"/>
        <v>21.5</v>
      </c>
      <c r="C262" s="9">
        <f t="shared" si="21"/>
        <v>0.39999999999997726</v>
      </c>
      <c r="D262" s="10" t="str">
        <f>TRIM(Compilation!F210)</f>
        <v>L</v>
      </c>
      <c r="E262" s="11" t="str">
        <f>Compilation!I210</f>
        <v>Hill St / Lusk Run Rd / Rt 2020..'gas station' on left</v>
      </c>
      <c r="F262" s="32"/>
      <c r="G262" s="45">
        <f>Compilation!J210</f>
      </c>
      <c r="H262" s="3">
        <f t="shared" si="22"/>
      </c>
      <c r="I262" s="3">
        <f t="shared" si="23"/>
        <v>11</v>
      </c>
      <c r="J262" s="12">
        <f>IF(ISNUMBER(FIND("Controle",H262)),MATCH(H262,Controle!B:B,0),"")</f>
      </c>
      <c r="K262" s="7">
        <f t="shared" si="24"/>
        <v>366.4</v>
      </c>
      <c r="L262" s="7" t="str">
        <f t="shared" si="25"/>
        <v>Hill St / Lusk Run Rd / Rt 2020..'gas station' on left</v>
      </c>
      <c r="M262" s="13"/>
    </row>
    <row r="263" spans="1:13" ht="16.5">
      <c r="A263" s="9">
        <f>Compilation!E211</f>
        <v>391.4</v>
      </c>
      <c r="B263" s="9">
        <f t="shared" si="20"/>
        <v>25</v>
      </c>
      <c r="C263" s="9">
        <f t="shared" si="21"/>
        <v>3.5</v>
      </c>
      <c r="D263" s="10" t="str">
        <f>TRIM(Compilation!F211)</f>
        <v>T L</v>
      </c>
      <c r="E263" s="11" t="str">
        <f>Compilation!I211</f>
        <v>(TFL) Rt 150 North</v>
      </c>
      <c r="F263" s="32"/>
      <c r="G263" s="45">
        <f>Compilation!J211</f>
      </c>
      <c r="H263" s="3">
        <f t="shared" si="22"/>
      </c>
      <c r="I263" s="3">
        <f t="shared" si="23"/>
        <v>11</v>
      </c>
      <c r="J263" s="12">
        <f>IF(ISNUMBER(FIND("Controle",H263)),MATCH(H263,Controle!B:B,0),"")</f>
      </c>
      <c r="K263" s="7">
        <f t="shared" si="24"/>
        <v>366.4</v>
      </c>
      <c r="L263" s="7" t="str">
        <f t="shared" si="25"/>
        <v>(TFL) Rt 150 North</v>
      </c>
      <c r="M263" s="13"/>
    </row>
    <row r="264" spans="1:13" ht="16.5">
      <c r="A264" s="9">
        <f>Compilation!E212</f>
        <v>391.7</v>
      </c>
      <c r="B264" s="9">
        <f t="shared" si="20"/>
        <v>25.30000000000001</v>
      </c>
      <c r="C264" s="9">
        <f t="shared" si="21"/>
        <v>0.30000000000001137</v>
      </c>
      <c r="D264" s="10" t="str">
        <f>TRIM(Compilation!F212)</f>
        <v>2nd R</v>
      </c>
      <c r="E264" s="11" t="str">
        <f>Compilation!I212</f>
        <v>Beech Creek Ave</v>
      </c>
      <c r="F264" s="32"/>
      <c r="G264" s="45">
        <f>Compilation!J212</f>
      </c>
      <c r="H264" s="3">
        <f t="shared" si="22"/>
      </c>
      <c r="I264" s="3">
        <f t="shared" si="23"/>
        <v>11</v>
      </c>
      <c r="J264" s="12">
        <f>IF(ISNUMBER(FIND("Controle",H264)),MATCH(H264,Controle!B:B,0),"")</f>
      </c>
      <c r="K264" s="7">
        <f t="shared" si="24"/>
        <v>366.4</v>
      </c>
      <c r="L264" s="7" t="str">
        <f t="shared" si="25"/>
        <v>Beech Creek Ave</v>
      </c>
      <c r="M264" s="13"/>
    </row>
    <row r="265" spans="1:13" ht="16.5">
      <c r="A265" s="9">
        <f>Compilation!E213</f>
        <v>392.3</v>
      </c>
      <c r="B265" s="9">
        <f t="shared" si="20"/>
        <v>25.900000000000034</v>
      </c>
      <c r="C265" s="9">
        <f t="shared" si="21"/>
        <v>0.6000000000000227</v>
      </c>
      <c r="D265" s="10" t="str">
        <f>TRIM(Compilation!F213)</f>
        <v>T R</v>
      </c>
      <c r="E265" s="11" t="str">
        <f>Compilation!I213</f>
        <v>Rt 64 / Water St [Mill Hall] </v>
      </c>
      <c r="F265" s="32"/>
      <c r="G265" s="45" t="str">
        <f>Compilation!J213</f>
        <v>stores</v>
      </c>
      <c r="H265" s="3">
        <f t="shared" si="22"/>
      </c>
      <c r="I265" s="3">
        <f t="shared" si="23"/>
        <v>11</v>
      </c>
      <c r="J265" s="12">
        <f>IF(ISNUMBER(FIND("Controle",H265)),MATCH(H265,Controle!B:B,0),"")</f>
      </c>
      <c r="K265" s="7">
        <f t="shared" si="24"/>
        <v>366.4</v>
      </c>
      <c r="L265" s="7" t="str">
        <f t="shared" si="25"/>
        <v>Rt 64 / Water St [Mill Hall] </v>
      </c>
      <c r="M265" s="13"/>
    </row>
    <row r="266" spans="1:13" ht="16.5">
      <c r="A266" s="9">
        <f>Compilation!E214</f>
        <v>392.6</v>
      </c>
      <c r="B266" s="9">
        <f t="shared" si="20"/>
        <v>26.200000000000045</v>
      </c>
      <c r="C266" s="9">
        <f t="shared" si="21"/>
        <v>0.30000000000001137</v>
      </c>
      <c r="D266" s="10" t="str">
        <f>TRIM(Compilation!F214)</f>
        <v>X</v>
      </c>
      <c r="E266" s="11" t="str">
        <f>Compilation!I214</f>
        <v>RR Tracks (Caution)</v>
      </c>
      <c r="F266" s="32"/>
      <c r="G266" s="45">
        <f>Compilation!J214</f>
      </c>
      <c r="H266" s="3">
        <f t="shared" si="22"/>
      </c>
      <c r="I266" s="3">
        <f t="shared" si="23"/>
        <v>11</v>
      </c>
      <c r="J266" s="12">
        <f>IF(ISNUMBER(FIND("Controle",H266)),MATCH(H266,Controle!B:B,0),"")</f>
      </c>
      <c r="K266" s="7">
        <f t="shared" si="24"/>
        <v>366.4</v>
      </c>
      <c r="L266" s="7" t="str">
        <f t="shared" si="25"/>
        <v>RR Tracks (Caution)</v>
      </c>
      <c r="M266" s="13"/>
    </row>
    <row r="267" spans="1:13" ht="16.5">
      <c r="A267" s="9">
        <f>Compilation!E215</f>
        <v>394.5</v>
      </c>
      <c r="B267" s="9">
        <f t="shared" si="20"/>
        <v>28.100000000000023</v>
      </c>
      <c r="C267" s="9">
        <f t="shared" si="21"/>
        <v>1.8999999999999773</v>
      </c>
      <c r="D267" s="10" t="str">
        <f>TRIM(Compilation!F215)</f>
        <v>R</v>
      </c>
      <c r="E267" s="11" t="str">
        <f>Compilation!I215</f>
        <v>Jacksonvill Rd / Rt 2018</v>
      </c>
      <c r="F267" s="32"/>
      <c r="G267" s="45">
        <f>Compilation!J215</f>
      </c>
      <c r="H267" s="3">
        <f t="shared" si="22"/>
      </c>
      <c r="I267" s="3">
        <f t="shared" si="23"/>
        <v>11</v>
      </c>
      <c r="J267" s="12">
        <f>IF(ISNUMBER(FIND("Controle",H267)),MATCH(H267,Controle!B:B,0),"")</f>
      </c>
      <c r="K267" s="7">
        <f t="shared" si="24"/>
        <v>366.4</v>
      </c>
      <c r="L267" s="7" t="str">
        <f t="shared" si="25"/>
        <v>Jacksonvill Rd / Rt 2018</v>
      </c>
      <c r="M267" s="13"/>
    </row>
    <row r="268" spans="1:13" ht="33">
      <c r="A268" s="9">
        <f>Compilation!E216</f>
        <v>397.3</v>
      </c>
      <c r="B268" s="9">
        <f t="shared" si="20"/>
        <v>30.900000000000034</v>
      </c>
      <c r="C268" s="9">
        <f t="shared" si="21"/>
        <v>2.8000000000000114</v>
      </c>
      <c r="D268" s="10" t="str">
        <f>TRIM(Compilation!F216)</f>
        <v>B R</v>
      </c>
      <c r="E268" s="11" t="str">
        <f>Compilation!I216</f>
        <v>TRO Jacksonville Rt (Jct. Peach Orchard Rd)</v>
      </c>
      <c r="F268" s="32"/>
      <c r="G268" s="45">
        <f>Compilation!J216</f>
      </c>
      <c r="H268" s="3">
        <f t="shared" si="22"/>
      </c>
      <c r="I268" s="3">
        <f t="shared" si="23"/>
        <v>11</v>
      </c>
      <c r="J268" s="12">
        <f>IF(ISNUMBER(FIND("Controle",H268)),MATCH(H268,Controle!B:B,0),"")</f>
      </c>
      <c r="K268" s="7">
        <f t="shared" si="24"/>
        <v>366.4</v>
      </c>
      <c r="L268" s="7" t="str">
        <f t="shared" si="25"/>
        <v>TRO Jacksonville Rt (Jct. Peach Orchard Rd)</v>
      </c>
      <c r="M268" s="13"/>
    </row>
    <row r="269" spans="1:13" ht="33">
      <c r="A269" s="9">
        <f>Compilation!E217</f>
        <v>400.1</v>
      </c>
      <c r="B269" s="9">
        <f t="shared" si="20"/>
        <v>33.700000000000045</v>
      </c>
      <c r="C269" s="9">
        <f t="shared" si="21"/>
        <v>2.8000000000000114</v>
      </c>
      <c r="D269" s="10" t="str">
        <f>TRIM(Compilation!F217)</f>
        <v>***L</v>
      </c>
      <c r="E269" s="11" t="str">
        <f>Compilation!I217</f>
        <v>Dotterers Rd.."Lamar 3"...on downhill</v>
      </c>
      <c r="F269" s="32"/>
      <c r="G269" s="45">
        <f>Compilation!J217</f>
      </c>
      <c r="H269" s="3">
        <f t="shared" si="22"/>
      </c>
      <c r="I269" s="3">
        <f t="shared" si="23"/>
        <v>11</v>
      </c>
      <c r="J269" s="12">
        <f>IF(ISNUMBER(FIND("Controle",H269)),MATCH(H269,Controle!B:B,0),"")</f>
      </c>
      <c r="K269" s="7">
        <f t="shared" si="24"/>
        <v>366.4</v>
      </c>
      <c r="L269" s="7" t="str">
        <f t="shared" si="25"/>
        <v>Dotterers Rd.."Lamar 3"...on downhill</v>
      </c>
      <c r="M269" s="13"/>
    </row>
    <row r="270" spans="1:13" ht="50.25" thickBot="1">
      <c r="A270" s="9">
        <f>Compilation!E218</f>
        <v>402.8</v>
      </c>
      <c r="B270" s="9">
        <f t="shared" si="20"/>
        <v>36.400000000000034</v>
      </c>
      <c r="C270" s="9">
        <f t="shared" si="21"/>
        <v>2.6999999999999886</v>
      </c>
      <c r="D270" s="10" t="str">
        <f>TRIM(Compilation!F218)</f>
        <v>STOP</v>
      </c>
      <c r="E270" s="11" t="str">
        <f>Compilation!I218</f>
        <v>Controle Flying-J Truck stop (driveway on left just before Rt 64 Jct CAUTION: Truck Exit </v>
      </c>
      <c r="F270" s="32"/>
      <c r="G270" s="45" t="str">
        <f>Compilation!J218</f>
        <v>Truck Stop Restaurant</v>
      </c>
      <c r="H270" s="3" t="str">
        <f t="shared" si="22"/>
        <v>Controle 12</v>
      </c>
      <c r="I270" s="3">
        <f t="shared" si="23"/>
        <v>12</v>
      </c>
      <c r="J270" s="12">
        <f>IF(ISNUMBER(FIND("Controle",H270)),MATCH(H270,Controle!B:B,0),"")</f>
        <v>36</v>
      </c>
      <c r="K270" s="7">
        <f t="shared" si="24"/>
        <v>366.4</v>
      </c>
      <c r="L270" s="7" t="str">
        <f t="shared" si="25"/>
        <v>Controle Flying-J Truck stop (driveway on left just before Rt 64 Jct CAUTION: Truck Exit </v>
      </c>
      <c r="M270" s="13"/>
    </row>
    <row r="271" spans="1:12" ht="16.5">
      <c r="A271" s="53" t="str">
        <f>INDEX(Controle!H:H,Cue!J270)&amp;" "</f>
        <v>Controle 12 Flying J Travel Plaza (570) 726-4080 </v>
      </c>
      <c r="B271" s="54"/>
      <c r="C271" s="54"/>
      <c r="D271" s="54"/>
      <c r="E271" s="55"/>
      <c r="F271" s="30"/>
      <c r="G271" s="43"/>
      <c r="H271" s="3">
        <f>IF(ISNUMBER(FIND("Controle",E271)),LEFT(E271,FIND(" ",E271,10)-1),"")</f>
      </c>
      <c r="I271" s="3">
        <f>IF(LEFT(E271,8)="Controle",I270+1,I270)</f>
        <v>12</v>
      </c>
      <c r="J271" s="12">
        <f>IF(ISNUMBER(FIND("Controle",H271)),MATCH(H271,Controle!B:B,0),"")</f>
      </c>
      <c r="K271" s="7">
        <f>IF(B270="Leg",A271,K270)</f>
        <v>366.4</v>
      </c>
      <c r="L271" s="7">
        <f t="shared" si="25"/>
        <v>0</v>
      </c>
    </row>
    <row r="272" spans="1:12" ht="16.5">
      <c r="A272" s="50" t="str">
        <f>INDEX(Controle!H:H,Cue!J270+1)&amp;" "</f>
        <v>5609  Nittany Valley Dr / Rt 64, Lamar, PA </v>
      </c>
      <c r="B272" s="51"/>
      <c r="C272" s="51"/>
      <c r="D272" s="51"/>
      <c r="E272" s="52"/>
      <c r="F272" s="30"/>
      <c r="G272" s="43"/>
      <c r="H272" s="3">
        <f>IF(ISNUMBER(FIND("Controle",E272)),LEFT(E272,FIND(" ",E272,10)-1),"")</f>
      </c>
      <c r="I272" s="3">
        <f>IF(LEFT(E272,8)="Controle",I271+1,I271)</f>
        <v>12</v>
      </c>
      <c r="J272" s="12">
        <f>IF(ISNUMBER(FIND("Controle",H272)),MATCH(H272,Controle!B:B,0),"")</f>
      </c>
      <c r="K272" s="7">
        <f>IF(B271="Leg",A272,K271)</f>
        <v>366.4</v>
      </c>
      <c r="L272" s="7">
        <f t="shared" si="25"/>
        <v>0</v>
      </c>
    </row>
    <row r="273" spans="1:13" ht="17.25" thickBot="1">
      <c r="A273" s="47" t="str">
        <f>INDEX(Controle!H:H,Cue!J270+2)&amp;" "</f>
        <v>open: 08/09 00:33  close: 08/10 00:17 </v>
      </c>
      <c r="B273" s="48"/>
      <c r="C273" s="48"/>
      <c r="D273" s="48"/>
      <c r="E273" s="49"/>
      <c r="F273" s="31"/>
      <c r="G273" s="44"/>
      <c r="H273" s="3">
        <f>IF(ISNUMBER(FIND("Controle",E273)),LEFT(E273,FIND(" ",E273,10)-1),"")</f>
      </c>
      <c r="I273" s="3">
        <f>IF(LEFT(E273,8)="Controle",I272+1,I272)</f>
        <v>12</v>
      </c>
      <c r="J273" s="12">
        <f>IF(ISNUMBER(FIND("Controle",H273)),MATCH(H273,Controle!B:B,0),"")</f>
      </c>
      <c r="K273" s="7">
        <f>IF(B272="Leg",A273,K272)</f>
        <v>366.4</v>
      </c>
      <c r="L273" s="7">
        <f t="shared" si="25"/>
        <v>0</v>
      </c>
      <c r="M273" s="8"/>
    </row>
    <row r="274" spans="1:13" ht="33">
      <c r="A274" s="9">
        <f>Compilation!E219</f>
        <v>402.8</v>
      </c>
      <c r="B274" s="9">
        <f t="shared" si="20"/>
        <v>0</v>
      </c>
      <c r="C274" s="9">
        <f>A274-A270</f>
        <v>0</v>
      </c>
      <c r="D274" s="10" t="str">
        <f>TRIM(Compilation!F219)</f>
        <v>Turn</v>
      </c>
      <c r="E274" s="11" t="str">
        <f>Compilation!I219</f>
        <v>Leave controle using exit at TFL turning right on Rt 64 south </v>
      </c>
      <c r="F274" s="32"/>
      <c r="G274" s="45" t="str">
        <f>Compilation!J219</f>
        <v>Limited services ahead</v>
      </c>
      <c r="H274" s="3">
        <f t="shared" si="22"/>
      </c>
      <c r="I274" s="3">
        <f>IF(LEFT(E274,8)="Controle",I270+1,I270)</f>
        <v>12</v>
      </c>
      <c r="J274" s="12">
        <f>IF(ISNUMBER(FIND("Controle",H274)),MATCH(H274,Controle!B:B,0),"")</f>
      </c>
      <c r="K274" s="7">
        <f>IF(H270&lt;&gt;"",A274,K270)</f>
        <v>402.8</v>
      </c>
      <c r="L274" s="7" t="str">
        <f t="shared" si="25"/>
        <v>Leave controle using exit at TFL turning right on Rt 64 south </v>
      </c>
      <c r="M274" s="13"/>
    </row>
    <row r="275" spans="1:13" ht="33">
      <c r="A275" s="9">
        <f>Compilation!E220</f>
        <v>403.7</v>
      </c>
      <c r="B275" s="9">
        <f t="shared" si="20"/>
        <v>0.8999999999999773</v>
      </c>
      <c r="C275" s="9">
        <f t="shared" si="21"/>
        <v>0.8999999999999773</v>
      </c>
      <c r="D275" s="10" t="str">
        <f>TRIM(Compilation!F220)</f>
        <v>***L</v>
      </c>
      <c r="E275" s="11" t="str">
        <f>Compilation!I220</f>
        <v>Silver Ave.."Clintendale"...fire station on right</v>
      </c>
      <c r="F275" s="32"/>
      <c r="G275" s="45">
        <f>Compilation!J220</f>
      </c>
      <c r="H275" s="3">
        <f t="shared" si="22"/>
      </c>
      <c r="I275" s="3">
        <f t="shared" si="23"/>
        <v>12</v>
      </c>
      <c r="J275" s="12">
        <f>IF(ISNUMBER(FIND("Controle",H275)),MATCH(H275,Controle!B:B,0),"")</f>
      </c>
      <c r="K275" s="7">
        <f t="shared" si="24"/>
        <v>402.8</v>
      </c>
      <c r="L275" s="7" t="str">
        <f t="shared" si="25"/>
        <v>Silver Ave.."Clintendale"...fire station on right</v>
      </c>
      <c r="M275" s="13"/>
    </row>
    <row r="276" spans="1:13" ht="16.5">
      <c r="A276" s="9">
        <f>Compilation!E221</f>
        <v>404</v>
      </c>
      <c r="B276" s="9">
        <f t="shared" si="20"/>
        <v>1.1999999999999886</v>
      </c>
      <c r="C276" s="9">
        <f t="shared" si="21"/>
        <v>0.30000000000001137</v>
      </c>
      <c r="D276" s="10" t="str">
        <f>TRIM(Compilation!F221)</f>
        <v>TR</v>
      </c>
      <c r="E276" s="11" t="str">
        <f>Compilation!I221</f>
        <v>Furnance Rd</v>
      </c>
      <c r="F276" s="32"/>
      <c r="G276" s="45">
        <f>Compilation!J221</f>
      </c>
      <c r="H276" s="3">
        <f t="shared" si="22"/>
      </c>
      <c r="I276" s="3">
        <f t="shared" si="23"/>
        <v>12</v>
      </c>
      <c r="J276" s="12">
        <f>IF(ISNUMBER(FIND("Controle",H276)),MATCH(H276,Controle!B:B,0),"")</f>
      </c>
      <c r="K276" s="7">
        <f t="shared" si="24"/>
        <v>402.8</v>
      </c>
      <c r="L276" s="7" t="str">
        <f t="shared" si="25"/>
        <v>Furnance Rd</v>
      </c>
      <c r="M276" s="13"/>
    </row>
    <row r="277" spans="1:13" ht="33">
      <c r="A277" s="9">
        <f>Compilation!E222</f>
        <v>404.5</v>
      </c>
      <c r="B277" s="9">
        <f t="shared" si="20"/>
        <v>1.6999999999999886</v>
      </c>
      <c r="C277" s="9">
        <f t="shared" si="21"/>
        <v>0.5</v>
      </c>
      <c r="D277" s="10" t="str">
        <f>TRIM(Compilation!F222)</f>
        <v>L</v>
      </c>
      <c r="E277" s="11" t="str">
        <f>Compilation!I222</f>
        <v>(SS) Narrows Rd / Rt 2002 ... "Tylersville 8"</v>
      </c>
      <c r="F277" s="32"/>
      <c r="G277" s="45">
        <f>Compilation!J222</f>
      </c>
      <c r="H277" s="3">
        <f t="shared" si="22"/>
      </c>
      <c r="I277" s="3">
        <f t="shared" si="23"/>
        <v>12</v>
      </c>
      <c r="J277" s="12">
        <f>IF(ISNUMBER(FIND("Controle",H277)),MATCH(H277,Controle!B:B,0),"")</f>
      </c>
      <c r="K277" s="7">
        <f t="shared" si="24"/>
        <v>402.8</v>
      </c>
      <c r="L277" s="7" t="str">
        <f t="shared" si="25"/>
        <v>(SS) Narrows Rd / Rt 2002 ... "Tylersville 8"</v>
      </c>
      <c r="M277" s="13"/>
    </row>
    <row r="278" spans="1:13" ht="66">
      <c r="A278" s="9">
        <f>Compilation!E223</f>
        <v>412.3</v>
      </c>
      <c r="B278" s="9">
        <f t="shared" si="20"/>
        <v>9.5</v>
      </c>
      <c r="C278" s="9">
        <f t="shared" si="21"/>
        <v>7.800000000000011</v>
      </c>
      <c r="D278" s="10" t="str">
        <f>TRIM(Compilation!F223)</f>
        <v>R</v>
      </c>
      <c r="E278" s="11" t="str">
        <f>Compilation!I223</f>
        <v>Valley Rd / Rt 880 South [Tylersville]..."Rebersburg 4"...880 North DETOUR also goes right here</v>
      </c>
      <c r="F278" s="32"/>
      <c r="G278" s="45">
        <f>Compilation!J223</f>
      </c>
      <c r="H278" s="3">
        <f t="shared" si="22"/>
      </c>
      <c r="I278" s="3">
        <f t="shared" si="23"/>
        <v>12</v>
      </c>
      <c r="J278" s="12">
        <f>IF(ISNUMBER(FIND("Controle",H278)),MATCH(H278,Controle!B:B,0),"")</f>
      </c>
      <c r="K278" s="7">
        <f t="shared" si="24"/>
        <v>402.8</v>
      </c>
      <c r="L278" s="7" t="str">
        <f t="shared" si="25"/>
        <v>Valley Rd / Rt 880 South [Tylersville]..."Rebersburg 4"...880 North DETOUR also goes right here</v>
      </c>
      <c r="M278" s="13"/>
    </row>
    <row r="279" spans="1:13" ht="16.5">
      <c r="A279" s="9">
        <f>Compilation!E224</f>
        <v>412.4</v>
      </c>
      <c r="B279" s="9">
        <f t="shared" si="20"/>
        <v>9.599999999999966</v>
      </c>
      <c r="C279" s="9">
        <f t="shared" si="21"/>
        <v>0.0999999999999659</v>
      </c>
      <c r="D279" s="10" t="str">
        <f>TRIM(Compilation!F224)</f>
        <v>1st L</v>
      </c>
      <c r="E279" s="11" t="str">
        <f>Compilation!I224</f>
        <v>Winter Rd</v>
      </c>
      <c r="F279" s="32"/>
      <c r="G279" s="45">
        <f>Compilation!J224</f>
      </c>
      <c r="H279" s="3">
        <f t="shared" si="22"/>
      </c>
      <c r="I279" s="3">
        <f t="shared" si="23"/>
        <v>12</v>
      </c>
      <c r="J279" s="12">
        <f>IF(ISNUMBER(FIND("Controle",H279)),MATCH(H279,Controle!B:B,0),"")</f>
      </c>
      <c r="K279" s="7">
        <f t="shared" si="24"/>
        <v>402.8</v>
      </c>
      <c r="L279" s="7" t="str">
        <f t="shared" si="25"/>
        <v>Winter Rd</v>
      </c>
      <c r="M279" s="13"/>
    </row>
    <row r="280" spans="1:13" ht="49.5">
      <c r="A280" s="9">
        <f>Compilation!E225</f>
        <v>418</v>
      </c>
      <c r="B280" s="9">
        <f t="shared" si="20"/>
        <v>15.199999999999989</v>
      </c>
      <c r="C280" s="9">
        <f t="shared" si="21"/>
        <v>5.600000000000023</v>
      </c>
      <c r="D280" s="10" t="str">
        <f>TRIM(Compilation!F225)</f>
        <v>R</v>
      </c>
      <c r="E280" s="11" t="str">
        <f>Compilation!I225</f>
        <v>Rt 477 South / Bull Run Rd (don't miss or else you end up on Rt 447 north)</v>
      </c>
      <c r="F280" s="32"/>
      <c r="G280" s="45">
        <f>Compilation!J225</f>
      </c>
      <c r="H280" s="3">
        <f t="shared" si="22"/>
      </c>
      <c r="I280" s="3">
        <f t="shared" si="23"/>
        <v>12</v>
      </c>
      <c r="J280" s="12">
        <f>IF(ISNUMBER(FIND("Controle",H280)),MATCH(H280,Controle!B:B,0),"")</f>
      </c>
      <c r="K280" s="7">
        <f t="shared" si="24"/>
        <v>402.8</v>
      </c>
      <c r="L280" s="7" t="str">
        <f t="shared" si="25"/>
        <v>Rt 477 South / Bull Run Rd (don't miss or else you end up on Rt 447 north)</v>
      </c>
      <c r="M280" s="13"/>
    </row>
    <row r="281" spans="1:13" ht="16.5">
      <c r="A281" s="9">
        <f>Compilation!E226</f>
        <v>421.7</v>
      </c>
      <c r="B281" s="9">
        <f t="shared" si="20"/>
        <v>18.899999999999977</v>
      </c>
      <c r="C281" s="9">
        <f t="shared" si="21"/>
        <v>3.6999999999999886</v>
      </c>
      <c r="D281" s="10" t="str">
        <f>TRIM(Compilation!F226)</f>
        <v>T L</v>
      </c>
      <c r="E281" s="11" t="str">
        <f>Compilation!I226</f>
        <v>Rt 192 East</v>
      </c>
      <c r="F281" s="32"/>
      <c r="G281" s="45">
        <f>Compilation!J226</f>
      </c>
      <c r="H281" s="3">
        <f t="shared" si="22"/>
      </c>
      <c r="I281" s="3">
        <f t="shared" si="23"/>
        <v>12</v>
      </c>
      <c r="J281" s="12">
        <f>IF(ISNUMBER(FIND("Controle",H281)),MATCH(H281,Controle!B:B,0),"")</f>
      </c>
      <c r="K281" s="7">
        <f t="shared" si="24"/>
        <v>402.8</v>
      </c>
      <c r="L281" s="7" t="str">
        <f t="shared" si="25"/>
        <v>Rt 192 East</v>
      </c>
      <c r="M281" s="13"/>
    </row>
    <row r="282" spans="1:13" ht="33">
      <c r="A282" s="9">
        <f>Compilation!E227</f>
        <v>444.8</v>
      </c>
      <c r="B282" s="9">
        <f aca="true" t="shared" si="26" ref="B282:B354">A282-K282</f>
        <v>42</v>
      </c>
      <c r="C282" s="9">
        <f aca="true" t="shared" si="27" ref="C282:C353">A282-A281</f>
        <v>23.100000000000023</v>
      </c>
      <c r="D282" s="10" t="str">
        <f>TRIM(Compilation!F227)</f>
        <v>X</v>
      </c>
      <c r="E282" s="11" t="str">
        <f>Compilation!I227</f>
        <v>Rt 15 (TFL) (now on Buffalo Rd) [Lewisburg]</v>
      </c>
      <c r="F282" s="32"/>
      <c r="G282" s="45">
        <f>Compilation!J227</f>
      </c>
      <c r="H282" s="3">
        <f aca="true" t="shared" si="28" ref="H282:H354">IF(ISNUMBER(FIND("Controle",E282)),"Controle "&amp;I282,"")</f>
      </c>
      <c r="I282" s="3">
        <f aca="true" t="shared" si="29" ref="I282:I353">IF(LEFT(E282,8)="Controle",I281+1,I281)</f>
        <v>12</v>
      </c>
      <c r="J282" s="12">
        <f>IF(ISNUMBER(FIND("Controle",H282)),MATCH(H282,Controle!B:B,0),"")</f>
      </c>
      <c r="K282" s="7">
        <f aca="true" t="shared" si="30" ref="K282:K353">IF(H281&lt;&gt;"",A282,K281)</f>
        <v>402.8</v>
      </c>
      <c r="L282" s="7" t="str">
        <f aca="true" t="shared" si="31" ref="L282:L354">E282</f>
        <v>Rt 15 (TFL) (now on Buffalo Rd) [Lewisburg]</v>
      </c>
      <c r="M282" s="13"/>
    </row>
    <row r="283" spans="1:13" ht="33">
      <c r="A283" s="9">
        <f>Compilation!E228</f>
        <v>445</v>
      </c>
      <c r="B283" s="9">
        <f t="shared" si="26"/>
        <v>42.19999999999999</v>
      </c>
      <c r="C283" s="9">
        <f t="shared" si="27"/>
        <v>0.19999999999998863</v>
      </c>
      <c r="D283" s="10" t="str">
        <f>TRIM(Compilation!F228)</f>
        <v>BL</v>
      </c>
      <c r="E283" s="11" t="str">
        <f>Compilation!I228</f>
        <v>(SS) St Anthony St (NOT hard left onto 4th)</v>
      </c>
      <c r="F283" s="32"/>
      <c r="G283" s="45">
        <f>Compilation!J228</f>
      </c>
      <c r="H283" s="3">
        <f t="shared" si="28"/>
      </c>
      <c r="I283" s="3">
        <f t="shared" si="29"/>
        <v>12</v>
      </c>
      <c r="J283" s="12">
        <f>IF(ISNUMBER(FIND("Controle",H283)),MATCH(H283,Controle!B:B,0),"")</f>
      </c>
      <c r="K283" s="7">
        <f t="shared" si="30"/>
        <v>402.8</v>
      </c>
      <c r="L283" s="7" t="str">
        <f t="shared" si="31"/>
        <v>(SS) St Anthony St (NOT hard left onto 4th)</v>
      </c>
      <c r="M283" s="13"/>
    </row>
    <row r="284" spans="1:13" ht="33">
      <c r="A284" s="9">
        <f>Compilation!E229</f>
        <v>445.1</v>
      </c>
      <c r="B284" s="9">
        <f t="shared" si="26"/>
        <v>42.30000000000001</v>
      </c>
      <c r="C284" s="9">
        <f t="shared" si="27"/>
        <v>0.10000000000002274</v>
      </c>
      <c r="D284" s="10" t="str">
        <f>TRIM(Compilation!F229)</f>
        <v>X</v>
      </c>
      <c r="E284" s="11" t="str">
        <f>Compilation!I229</f>
        <v>(SS) 3rd St TRO St Anthony b/c River Rd ahead at bend</v>
      </c>
      <c r="F284" s="32"/>
      <c r="G284" s="45">
        <f>Compilation!J229</f>
      </c>
      <c r="H284" s="3">
        <f t="shared" si="28"/>
      </c>
      <c r="I284" s="3">
        <f t="shared" si="29"/>
        <v>12</v>
      </c>
      <c r="J284" s="12">
        <f>IF(ISNUMBER(FIND("Controle",H284)),MATCH(H284,Controle!B:B,0),"")</f>
      </c>
      <c r="K284" s="7">
        <f t="shared" si="30"/>
        <v>402.8</v>
      </c>
      <c r="L284" s="7" t="str">
        <f t="shared" si="31"/>
        <v>(SS) 3rd St TRO St Anthony b/c River Rd ahead at bend</v>
      </c>
      <c r="M284" s="13"/>
    </row>
    <row r="285" spans="1:13" ht="16.5">
      <c r="A285" s="9">
        <f>Compilation!E230</f>
        <v>446.2</v>
      </c>
      <c r="B285" s="9">
        <f t="shared" si="26"/>
        <v>43.39999999999998</v>
      </c>
      <c r="C285" s="9">
        <f t="shared" si="27"/>
        <v>1.099999999999966</v>
      </c>
      <c r="D285" s="10" t="str">
        <f>TRIM(Compilation!F230)</f>
        <v>X</v>
      </c>
      <c r="E285" s="11" t="str">
        <f>Compilation!I230</f>
        <v>(TFL) Rt 15 now on Hospital Dr</v>
      </c>
      <c r="F285" s="32"/>
      <c r="G285" s="45">
        <f>Compilation!J230</f>
      </c>
      <c r="H285" s="3">
        <f t="shared" si="28"/>
      </c>
      <c r="I285" s="3">
        <f t="shared" si="29"/>
        <v>12</v>
      </c>
      <c r="J285" s="12">
        <f>IF(ISNUMBER(FIND("Controle",H285)),MATCH(H285,Controle!B:B,0),"")</f>
      </c>
      <c r="K285" s="7">
        <f t="shared" si="30"/>
        <v>402.8</v>
      </c>
      <c r="L285" s="7" t="str">
        <f t="shared" si="31"/>
        <v>(TFL) Rt 15 now on Hospital Dr</v>
      </c>
      <c r="M285" s="13"/>
    </row>
    <row r="286" spans="1:13" ht="16.5">
      <c r="A286" s="9">
        <f>Compilation!E231</f>
        <v>446.4</v>
      </c>
      <c r="B286" s="9">
        <f t="shared" si="26"/>
        <v>43.599999999999966</v>
      </c>
      <c r="C286" s="9">
        <f t="shared" si="27"/>
        <v>0.19999999999998863</v>
      </c>
      <c r="D286" s="10" t="str">
        <f>TRIM(Compilation!F231)</f>
        <v>1st R</v>
      </c>
      <c r="E286" s="11" t="str">
        <f>Compilation!I231</f>
        <v>Walter Dr</v>
      </c>
      <c r="F286" s="32"/>
      <c r="G286" s="45">
        <f>Compilation!J231</f>
      </c>
      <c r="H286" s="3">
        <f t="shared" si="28"/>
      </c>
      <c r="I286" s="3">
        <f t="shared" si="29"/>
        <v>12</v>
      </c>
      <c r="J286" s="12">
        <f>IF(ISNUMBER(FIND("Controle",H286)),MATCH(H286,Controle!B:B,0),"")</f>
      </c>
      <c r="K286" s="7">
        <f t="shared" si="30"/>
        <v>402.8</v>
      </c>
      <c r="L286" s="7" t="str">
        <f t="shared" si="31"/>
        <v>Walter Dr</v>
      </c>
      <c r="M286" s="13"/>
    </row>
    <row r="287" spans="1:13" ht="33.75" thickBot="1">
      <c r="A287" s="9">
        <f>Compilation!E232</f>
        <v>446.5</v>
      </c>
      <c r="B287" s="9">
        <f t="shared" si="26"/>
        <v>43.69999999999999</v>
      </c>
      <c r="C287" s="9">
        <f t="shared" si="27"/>
        <v>0.10000000000002274</v>
      </c>
      <c r="D287" s="10" t="str">
        <f>TRIM(Compilation!F232)</f>
        <v>STOP</v>
      </c>
      <c r="E287" s="11" t="str">
        <f>Compilation!I232</f>
        <v>Controle Country Inn &amp; Suites on left </v>
      </c>
      <c r="F287" s="32"/>
      <c r="G287" s="45" t="str">
        <f>Compilation!J232</f>
        <v>Restaurant Fast Food</v>
      </c>
      <c r="H287" s="3" t="str">
        <f t="shared" si="28"/>
        <v>Controle 13</v>
      </c>
      <c r="I287" s="3">
        <f t="shared" si="29"/>
        <v>13</v>
      </c>
      <c r="J287" s="12">
        <f>IF(ISNUMBER(FIND("Controle",H287)),MATCH(H287,Controle!B:B,0),"")</f>
        <v>39</v>
      </c>
      <c r="K287" s="7">
        <f t="shared" si="30"/>
        <v>402.8</v>
      </c>
      <c r="L287" s="7" t="str">
        <f t="shared" si="31"/>
        <v>Controle Country Inn &amp; Suites on left </v>
      </c>
      <c r="M287" s="13"/>
    </row>
    <row r="288" spans="1:12" ht="16.5">
      <c r="A288" s="53" t="str">
        <f>INDEX(Controle!H:H,Cue!J287)&amp;" "</f>
        <v>Controle 13 Country Inn &amp; Suites (570) 524-6600 </v>
      </c>
      <c r="B288" s="54"/>
      <c r="C288" s="54"/>
      <c r="D288" s="54"/>
      <c r="E288" s="55"/>
      <c r="F288" s="30"/>
      <c r="G288" s="43"/>
      <c r="H288" s="3">
        <f>IF(ISNUMBER(FIND("Controle",E288)),LEFT(E288,FIND(" ",E288,10)-1),"")</f>
      </c>
      <c r="I288" s="3">
        <f>IF(LEFT(E288,8)="Controle",I287+1,I287)</f>
        <v>13</v>
      </c>
      <c r="J288" s="12">
        <f>IF(ISNUMBER(FIND("Controle",H288)),MATCH(H288,Controle!B:B,0),"")</f>
      </c>
      <c r="K288" s="7">
        <f>IF(B287="Leg",A288,K287)</f>
        <v>402.8</v>
      </c>
      <c r="L288" s="7">
        <f t="shared" si="31"/>
        <v>0</v>
      </c>
    </row>
    <row r="289" spans="1:12" ht="16.5">
      <c r="A289" s="50" t="str">
        <f>INDEX(Controle!H:H,Cue!J287+1)&amp;" "</f>
        <v>134 Walter Dr, Lewisburg, PA </v>
      </c>
      <c r="B289" s="51"/>
      <c r="C289" s="51"/>
      <c r="D289" s="51"/>
      <c r="E289" s="52"/>
      <c r="F289" s="30"/>
      <c r="G289" s="43"/>
      <c r="H289" s="3">
        <f>IF(ISNUMBER(FIND("Controle",E289)),LEFT(E289,FIND(" ",E289,10)-1),"")</f>
      </c>
      <c r="I289" s="3">
        <f>IF(LEFT(E289,8)="Controle",I288+1,I288)</f>
        <v>13</v>
      </c>
      <c r="J289" s="12">
        <f>IF(ISNUMBER(FIND("Controle",H289)),MATCH(H289,Controle!B:B,0),"")</f>
      </c>
      <c r="K289" s="7">
        <f>IF(B288="Leg",A289,K288)</f>
        <v>402.8</v>
      </c>
      <c r="L289" s="7">
        <f t="shared" si="31"/>
        <v>0</v>
      </c>
    </row>
    <row r="290" spans="1:13" ht="17.25" thickBot="1">
      <c r="A290" s="47" t="str">
        <f>INDEX(Controle!H:H,Cue!J287+2)&amp;" "</f>
        <v>open: 08/09 03:01  close: 08/10 06:20 </v>
      </c>
      <c r="B290" s="48"/>
      <c r="C290" s="48"/>
      <c r="D290" s="48"/>
      <c r="E290" s="49"/>
      <c r="F290" s="31"/>
      <c r="G290" s="44"/>
      <c r="H290" s="3">
        <f>IF(ISNUMBER(FIND("Controle",E290)),LEFT(E290,FIND(" ",E290,10)-1),"")</f>
      </c>
      <c r="I290" s="3">
        <f>IF(LEFT(E290,8)="Controle",I289+1,I289)</f>
        <v>13</v>
      </c>
      <c r="J290" s="12">
        <f>IF(ISNUMBER(FIND("Controle",H290)),MATCH(H290,Controle!B:B,0),"")</f>
      </c>
      <c r="K290" s="7">
        <f>IF(B289="Leg",A290,K289)</f>
        <v>402.8</v>
      </c>
      <c r="L290" s="7">
        <f t="shared" si="31"/>
        <v>0</v>
      </c>
      <c r="M290" s="8"/>
    </row>
    <row r="291" spans="1:13" ht="33">
      <c r="A291" s="9">
        <f>Compilation!E233</f>
        <v>446.5</v>
      </c>
      <c r="B291" s="9">
        <f t="shared" si="26"/>
        <v>0</v>
      </c>
      <c r="C291" s="9">
        <f>A291-A287</f>
        <v>0</v>
      </c>
      <c r="D291" s="10" t="str">
        <f>TRIM(Compilation!F233)</f>
        <v>Backtrack</v>
      </c>
      <c r="E291" s="11" t="str">
        <f>Compilation!I233</f>
        <v>Leave hotel parking lot turning right on Walter Dr</v>
      </c>
      <c r="F291" s="32"/>
      <c r="G291" s="45">
        <f>Compilation!J233</f>
      </c>
      <c r="H291" s="3">
        <f t="shared" si="28"/>
      </c>
      <c r="I291" s="3">
        <f>IF(LEFT(E291,8)="Controle",I287+1,I287)</f>
        <v>13</v>
      </c>
      <c r="J291" s="12">
        <f>IF(ISNUMBER(FIND("Controle",H291)),MATCH(H291,Controle!B:B,0),"")</f>
      </c>
      <c r="K291" s="7">
        <f>IF(H287&lt;&gt;"",A291,K287)</f>
        <v>446.5</v>
      </c>
      <c r="L291" s="7" t="str">
        <f t="shared" si="31"/>
        <v>Leave hotel parking lot turning right on Walter Dr</v>
      </c>
      <c r="M291" s="13"/>
    </row>
    <row r="292" spans="1:13" ht="16.5">
      <c r="A292" s="9">
        <f>Compilation!E234</f>
        <v>446.6</v>
      </c>
      <c r="B292" s="9">
        <f t="shared" si="26"/>
        <v>0.10000000000002274</v>
      </c>
      <c r="C292" s="9">
        <f t="shared" si="27"/>
        <v>0.10000000000002274</v>
      </c>
      <c r="D292" s="10" t="str">
        <f>TRIM(Compilation!F234)</f>
        <v>1st R</v>
      </c>
      <c r="E292" s="11" t="str">
        <f>Compilation!I234</f>
        <v>(SS) (unmarked) Hospital Dr</v>
      </c>
      <c r="F292" s="32"/>
      <c r="G292" s="45">
        <f>Compilation!J234</f>
      </c>
      <c r="H292" s="3">
        <f t="shared" si="28"/>
      </c>
      <c r="I292" s="3">
        <f t="shared" si="29"/>
        <v>13</v>
      </c>
      <c r="J292" s="12">
        <f>IF(ISNUMBER(FIND("Controle",H292)),MATCH(H292,Controle!B:B,0),"")</f>
      </c>
      <c r="K292" s="7">
        <f t="shared" si="30"/>
        <v>446.5</v>
      </c>
      <c r="L292" s="7" t="str">
        <f t="shared" si="31"/>
        <v>(SS) (unmarked) Hospital Dr</v>
      </c>
      <c r="M292" s="13"/>
    </row>
    <row r="293" spans="1:13" ht="16.5">
      <c r="A293" s="9">
        <f>Compilation!E235</f>
        <v>446.8</v>
      </c>
      <c r="B293" s="9">
        <f t="shared" si="26"/>
        <v>0.30000000000001137</v>
      </c>
      <c r="C293" s="9">
        <f t="shared" si="27"/>
        <v>0.19999999999998863</v>
      </c>
      <c r="D293" s="10" t="str">
        <f>TRIM(Compilation!F235)</f>
        <v>1st L</v>
      </c>
      <c r="E293" s="11" t="str">
        <f>Compilation!I235</f>
        <v>(SS) JPM Rd / Rt 1007</v>
      </c>
      <c r="F293" s="32"/>
      <c r="G293" s="45">
        <f>Compilation!J235</f>
      </c>
      <c r="H293" s="3">
        <f t="shared" si="28"/>
      </c>
      <c r="I293" s="3">
        <f t="shared" si="29"/>
        <v>13</v>
      </c>
      <c r="J293" s="12">
        <f>IF(ISNUMBER(FIND("Controle",H293)),MATCH(H293,Controle!B:B,0),"")</f>
      </c>
      <c r="K293" s="7">
        <f t="shared" si="30"/>
        <v>446.5</v>
      </c>
      <c r="L293" s="7" t="str">
        <f t="shared" si="31"/>
        <v>(SS) JPM Rd / Rt 1007</v>
      </c>
      <c r="M293" s="13"/>
    </row>
    <row r="294" spans="1:13" ht="16.5">
      <c r="A294" s="9">
        <f>Compilation!E236</f>
        <v>447.4</v>
      </c>
      <c r="B294" s="9">
        <f t="shared" si="26"/>
        <v>0.8999999999999773</v>
      </c>
      <c r="C294" s="9">
        <f t="shared" si="27"/>
        <v>0.5999999999999659</v>
      </c>
      <c r="D294" s="10" t="str">
        <f>TRIM(Compilation!F236)</f>
        <v>T R</v>
      </c>
      <c r="E294" s="11" t="str">
        <f>Compilation!I236</f>
        <v>(SS) William Penn Dr / Rt 1018</v>
      </c>
      <c r="F294" s="32"/>
      <c r="G294" s="45">
        <f>Compilation!J236</f>
      </c>
      <c r="H294" s="3">
        <f t="shared" si="28"/>
      </c>
      <c r="I294" s="3">
        <f t="shared" si="29"/>
        <v>13</v>
      </c>
      <c r="J294" s="12">
        <f>IF(ISNUMBER(FIND("Controle",H294)),MATCH(H294,Controle!B:B,0),"")</f>
      </c>
      <c r="K294" s="7">
        <f t="shared" si="30"/>
        <v>446.5</v>
      </c>
      <c r="L294" s="7" t="str">
        <f t="shared" si="31"/>
        <v>(SS) William Penn Dr / Rt 1018</v>
      </c>
      <c r="M294" s="13"/>
    </row>
    <row r="295" spans="1:13" ht="16.5">
      <c r="A295" s="9">
        <f>Compilation!E237</f>
        <v>447.9</v>
      </c>
      <c r="B295" s="9">
        <f t="shared" si="26"/>
        <v>1.3999999999999773</v>
      </c>
      <c r="C295" s="9">
        <f t="shared" si="27"/>
        <v>0.5</v>
      </c>
      <c r="D295" s="10" t="str">
        <f>TRIM(Compilation!F237)</f>
        <v>1st L</v>
      </c>
      <c r="E295" s="11" t="str">
        <f>Compilation!I237</f>
        <v>Airport Rd / Rt 2007</v>
      </c>
      <c r="F295" s="32"/>
      <c r="G295" s="45">
        <f>Compilation!J237</f>
      </c>
      <c r="H295" s="3">
        <f t="shared" si="28"/>
      </c>
      <c r="I295" s="3">
        <f t="shared" si="29"/>
        <v>13</v>
      </c>
      <c r="J295" s="12">
        <f>IF(ISNUMBER(FIND("Controle",H295)),MATCH(H295,Controle!B:B,0),"")</f>
      </c>
      <c r="K295" s="7">
        <f t="shared" si="30"/>
        <v>446.5</v>
      </c>
      <c r="L295" s="7" t="str">
        <f t="shared" si="31"/>
        <v>Airport Rd / Rt 2007</v>
      </c>
      <c r="M295" s="13"/>
    </row>
    <row r="296" spans="1:13" ht="16.5">
      <c r="A296" s="9">
        <f>Compilation!E238</f>
        <v>448.1</v>
      </c>
      <c r="B296" s="9">
        <f t="shared" si="26"/>
        <v>1.6000000000000227</v>
      </c>
      <c r="C296" s="9">
        <f t="shared" si="27"/>
        <v>0.20000000000004547</v>
      </c>
      <c r="D296" s="10" t="str">
        <f>TRIM(Compilation!F238)</f>
        <v>1st BL</v>
      </c>
      <c r="E296" s="11" t="str">
        <f>Compilation!I238</f>
        <v>TRO Airport Rd / Rt 2007</v>
      </c>
      <c r="F296" s="32"/>
      <c r="G296" s="45">
        <f>Compilation!J238</f>
      </c>
      <c r="H296" s="3">
        <f t="shared" si="28"/>
      </c>
      <c r="I296" s="3">
        <f t="shared" si="29"/>
        <v>13</v>
      </c>
      <c r="J296" s="12">
        <f>IF(ISNUMBER(FIND("Controle",H296)),MATCH(H296,Controle!B:B,0),"")</f>
      </c>
      <c r="K296" s="7">
        <f t="shared" si="30"/>
        <v>446.5</v>
      </c>
      <c r="L296" s="7" t="str">
        <f t="shared" si="31"/>
        <v>TRO Airport Rd / Rt 2007</v>
      </c>
      <c r="M296" s="13"/>
    </row>
    <row r="297" spans="1:13" ht="16.5">
      <c r="A297" s="9">
        <f>Compilation!E239</f>
        <v>448.3</v>
      </c>
      <c r="B297" s="9">
        <f t="shared" si="26"/>
        <v>1.8000000000000114</v>
      </c>
      <c r="C297" s="9">
        <f>A297-A296</f>
        <v>0.19999999999998863</v>
      </c>
      <c r="D297" s="10" t="str">
        <f>TRIM(Compilation!F239)</f>
        <v>R</v>
      </c>
      <c r="E297" s="11" t="str">
        <f>Compilation!I239</f>
        <v>(SS) Buffalo Rd / Rt 192</v>
      </c>
      <c r="F297" s="32"/>
      <c r="G297" s="45">
        <f>Compilation!J239</f>
      </c>
      <c r="H297" s="3">
        <f t="shared" si="28"/>
      </c>
      <c r="I297" s="3">
        <f>IF(LEFT(E297,8)="Controle",I296+1,I296)</f>
        <v>13</v>
      </c>
      <c r="J297" s="12">
        <f>IF(ISNUMBER(FIND("Controle",H297)),MATCH(H297,Controle!B:B,0),"")</f>
      </c>
      <c r="K297" s="7">
        <f>IF(H296&lt;&gt;"",A297,K296)</f>
        <v>446.5</v>
      </c>
      <c r="L297" s="7" t="str">
        <f t="shared" si="31"/>
        <v>(SS) Buffalo Rd / Rt 192</v>
      </c>
      <c r="M297" s="13"/>
    </row>
    <row r="298" spans="1:13" ht="16.5">
      <c r="A298" s="9">
        <f>Compilation!E240</f>
        <v>448.5</v>
      </c>
      <c r="B298" s="9">
        <f t="shared" si="26"/>
        <v>2</v>
      </c>
      <c r="C298" s="9">
        <f t="shared" si="27"/>
        <v>0.19999999999998863</v>
      </c>
      <c r="D298" s="10" t="str">
        <f>TRIM(Compilation!F240)</f>
        <v>1st L</v>
      </c>
      <c r="E298" s="11" t="str">
        <f>Compilation!I240</f>
        <v>(TFL) Fairground Rd / Rt 2007</v>
      </c>
      <c r="F298" s="32"/>
      <c r="G298" s="45">
        <f>Compilation!J240</f>
      </c>
      <c r="H298" s="3">
        <f t="shared" si="28"/>
      </c>
      <c r="I298" s="3">
        <f t="shared" si="29"/>
        <v>13</v>
      </c>
      <c r="J298" s="12">
        <f>IF(ISNUMBER(FIND("Controle",H298)),MATCH(H298,Controle!B:B,0),"")</f>
      </c>
      <c r="K298" s="7">
        <f t="shared" si="30"/>
        <v>446.5</v>
      </c>
      <c r="L298" s="7" t="str">
        <f t="shared" si="31"/>
        <v>(TFL) Fairground Rd / Rt 2007</v>
      </c>
      <c r="M298" s="13"/>
    </row>
    <row r="299" spans="1:13" ht="33">
      <c r="A299" s="9">
        <f>Compilation!E241</f>
        <v>449.2</v>
      </c>
      <c r="B299" s="9">
        <f t="shared" si="26"/>
        <v>2.6999999999999886</v>
      </c>
      <c r="C299" s="9">
        <f t="shared" si="27"/>
        <v>0.6999999999999886</v>
      </c>
      <c r="D299" s="10" t="str">
        <f>TRIM(Compilation!F241)</f>
        <v>X</v>
      </c>
      <c r="E299" s="11" t="str">
        <f>Compilation!I241</f>
        <v>(TFL) Rt 45 TRO Fairground Rd / Rt 2007 </v>
      </c>
      <c r="F299" s="32"/>
      <c r="G299" s="45" t="str">
        <f>Compilation!J241</f>
        <v>MiniMart</v>
      </c>
      <c r="H299" s="3">
        <f t="shared" si="28"/>
      </c>
      <c r="I299" s="3">
        <f t="shared" si="29"/>
        <v>13</v>
      </c>
      <c r="J299" s="12">
        <f>IF(ISNUMBER(FIND("Controle",H299)),MATCH(H299,Controle!B:B,0),"")</f>
      </c>
      <c r="K299" s="7">
        <f t="shared" si="30"/>
        <v>446.5</v>
      </c>
      <c r="L299" s="7" t="str">
        <f t="shared" si="31"/>
        <v>(TFL) Rt 45 TRO Fairground Rd / Rt 2007 </v>
      </c>
      <c r="M299" s="13"/>
    </row>
    <row r="300" spans="1:13" ht="16.5">
      <c r="A300" s="9">
        <f>Compilation!E242</f>
        <v>449.5</v>
      </c>
      <c r="B300" s="9">
        <f t="shared" si="26"/>
        <v>3</v>
      </c>
      <c r="C300" s="9">
        <f t="shared" si="27"/>
        <v>0.30000000000001137</v>
      </c>
      <c r="D300" s="10" t="str">
        <f>TRIM(Compilation!F242)</f>
        <v>1st R</v>
      </c>
      <c r="E300" s="11" t="str">
        <f>Compilation!I242</f>
        <v>Smoketown Rd / Rt 2007</v>
      </c>
      <c r="F300" s="32"/>
      <c r="G300" s="45">
        <f>Compilation!J242</f>
      </c>
      <c r="H300" s="3">
        <f t="shared" si="28"/>
      </c>
      <c r="I300" s="3">
        <f t="shared" si="29"/>
        <v>13</v>
      </c>
      <c r="J300" s="12">
        <f>IF(ISNUMBER(FIND("Controle",H300)),MATCH(H300,Controle!B:B,0),"")</f>
      </c>
      <c r="K300" s="7">
        <f t="shared" si="30"/>
        <v>446.5</v>
      </c>
      <c r="L300" s="7" t="str">
        <f t="shared" si="31"/>
        <v>Smoketown Rd / Rt 2007</v>
      </c>
      <c r="M300" s="13"/>
    </row>
    <row r="301" spans="1:13" ht="49.5">
      <c r="A301" s="9">
        <f>Compilation!E243</f>
        <v>451.5</v>
      </c>
      <c r="B301" s="9">
        <f t="shared" si="26"/>
        <v>5</v>
      </c>
      <c r="C301" s="9">
        <f t="shared" si="27"/>
        <v>2</v>
      </c>
      <c r="D301" s="10" t="str">
        <f>TRIM(Compilation!F243)</f>
        <v>X</v>
      </c>
      <c r="E301" s="11" t="str">
        <f>Compilation!I243</f>
        <v>(SS) Salem Church Rd / Rt 2005 (Now on Pheasant Ridge Rd)</v>
      </c>
      <c r="F301" s="32"/>
      <c r="G301" s="45">
        <f>Compilation!J243</f>
      </c>
      <c r="H301" s="3">
        <f t="shared" si="28"/>
      </c>
      <c r="I301" s="3">
        <f t="shared" si="29"/>
        <v>13</v>
      </c>
      <c r="J301" s="12">
        <f>IF(ISNUMBER(FIND("Controle",H301)),MATCH(H301,Controle!B:B,0),"")</f>
      </c>
      <c r="K301" s="7">
        <f t="shared" si="30"/>
        <v>446.5</v>
      </c>
      <c r="L301" s="7" t="str">
        <f t="shared" si="31"/>
        <v>(SS) Salem Church Rd / Rt 2005 (Now on Pheasant Ridge Rd)</v>
      </c>
      <c r="M301" s="13"/>
    </row>
    <row r="302" spans="1:13" ht="49.5">
      <c r="A302" s="9">
        <f>Compilation!E244</f>
        <v>453.2</v>
      </c>
      <c r="B302" s="9">
        <f t="shared" si="26"/>
        <v>6.699999999999989</v>
      </c>
      <c r="C302" s="9">
        <f t="shared" si="27"/>
        <v>1.6999999999999886</v>
      </c>
      <c r="D302" s="10" t="str">
        <f>TRIM(Compilation!F244)</f>
        <v>T L</v>
      </c>
      <c r="E302" s="11" t="str">
        <f>Compilation!I244</f>
        <v>(SS) (unmarked) Dreisbach Church Rd / Rt 2003 (b/c New Berlin Mountain Rd)</v>
      </c>
      <c r="F302" s="32"/>
      <c r="G302" s="45">
        <f>Compilation!J244</f>
      </c>
      <c r="H302" s="3">
        <f t="shared" si="28"/>
      </c>
      <c r="I302" s="3">
        <f t="shared" si="29"/>
        <v>13</v>
      </c>
      <c r="J302" s="12">
        <f>IF(ISNUMBER(FIND("Controle",H302)),MATCH(H302,Controle!B:B,0),"")</f>
      </c>
      <c r="K302" s="7">
        <f t="shared" si="30"/>
        <v>446.5</v>
      </c>
      <c r="L302" s="7" t="str">
        <f t="shared" si="31"/>
        <v>(SS) (unmarked) Dreisbach Church Rd / Rt 2003 (b/c New Berlin Mountain Rd)</v>
      </c>
      <c r="M302" s="13"/>
    </row>
    <row r="303" spans="1:13" ht="33">
      <c r="A303" s="9">
        <f>Compilation!E245</f>
        <v>457.1</v>
      </c>
      <c r="B303" s="9">
        <f t="shared" si="26"/>
        <v>10.600000000000023</v>
      </c>
      <c r="C303" s="9">
        <f t="shared" si="27"/>
        <v>3.900000000000034</v>
      </c>
      <c r="D303" s="10" t="str">
        <f>TRIM(Compilation!F245)</f>
        <v>X</v>
      </c>
      <c r="E303" s="11" t="str">
        <f>Compilation!I245</f>
        <v>(SS) Rt 304 (now on Vine St / Rt 2003) [New Berlin] </v>
      </c>
      <c r="F303" s="32"/>
      <c r="G303" s="45" t="str">
        <f>Compilation!J245</f>
        <v>Pizzeria</v>
      </c>
      <c r="H303" s="3">
        <f t="shared" si="28"/>
      </c>
      <c r="I303" s="3">
        <f t="shared" si="29"/>
        <v>13</v>
      </c>
      <c r="J303" s="12">
        <f>IF(ISNUMBER(FIND("Controle",H303)),MATCH(H303,Controle!B:B,0),"")</f>
      </c>
      <c r="K303" s="7">
        <f t="shared" si="30"/>
        <v>446.5</v>
      </c>
      <c r="L303" s="7" t="str">
        <f t="shared" si="31"/>
        <v>(SS) Rt 304 (now on Vine St / Rt 2003) [New Berlin] </v>
      </c>
      <c r="M303" s="13"/>
    </row>
    <row r="304" spans="1:13" ht="33">
      <c r="A304" s="9">
        <f>Compilation!E246</f>
        <v>457.4</v>
      </c>
      <c r="B304" s="9">
        <f t="shared" si="26"/>
        <v>10.899999999999977</v>
      </c>
      <c r="C304" s="9">
        <f t="shared" si="27"/>
        <v>0.2999999999999545</v>
      </c>
      <c r="D304" s="10" t="str">
        <f>TRIM(Compilation!F246)</f>
        <v>T R</v>
      </c>
      <c r="E304" s="11" t="str">
        <f>Compilation!I246</f>
        <v>(SS) (unmarked) New Berlin Hwy / Rt 1005 ..Jct Rt 204</v>
      </c>
      <c r="F304" s="32"/>
      <c r="G304" s="45">
        <f>Compilation!J246</f>
      </c>
      <c r="H304" s="3">
        <f t="shared" si="28"/>
      </c>
      <c r="I304" s="3">
        <f t="shared" si="29"/>
        <v>13</v>
      </c>
      <c r="J304" s="12">
        <f>IF(ISNUMBER(FIND("Controle",H304)),MATCH(H304,Controle!B:B,0),"")</f>
      </c>
      <c r="K304" s="7">
        <f t="shared" si="30"/>
        <v>446.5</v>
      </c>
      <c r="L304" s="7" t="str">
        <f t="shared" si="31"/>
        <v>(SS) (unmarked) New Berlin Hwy / Rt 1005 ..Jct Rt 204</v>
      </c>
      <c r="M304" s="13"/>
    </row>
    <row r="305" spans="1:13" ht="33">
      <c r="A305" s="9">
        <f>Compilation!E247</f>
        <v>457.9</v>
      </c>
      <c r="B305" s="9">
        <f t="shared" si="26"/>
        <v>11.399999999999977</v>
      </c>
      <c r="C305" s="9">
        <f t="shared" si="27"/>
        <v>0.5</v>
      </c>
      <c r="D305" s="10" t="str">
        <f>TRIM(Compilation!F247)</f>
        <v>BR</v>
      </c>
      <c r="E305" s="11" t="str">
        <f>Compilation!I247</f>
        <v>(SS) FMR TRO New Berlin Hwy / Rt 1005</v>
      </c>
      <c r="F305" s="32"/>
      <c r="G305" s="45">
        <f>Compilation!J247</f>
      </c>
      <c r="H305" s="3">
        <f t="shared" si="28"/>
      </c>
      <c r="I305" s="3">
        <f t="shared" si="29"/>
        <v>13</v>
      </c>
      <c r="J305" s="12">
        <f>IF(ISNUMBER(FIND("Controle",H305)),MATCH(H305,Controle!B:B,0),"")</f>
      </c>
      <c r="K305" s="7">
        <f t="shared" si="30"/>
        <v>446.5</v>
      </c>
      <c r="L305" s="7" t="str">
        <f t="shared" si="31"/>
        <v>(SS) FMR TRO New Berlin Hwy / Rt 1005</v>
      </c>
      <c r="M305" s="13"/>
    </row>
    <row r="306" spans="1:13" ht="16.5">
      <c r="A306" s="9">
        <f>Compilation!E248</f>
        <v>464.6</v>
      </c>
      <c r="B306" s="9">
        <f t="shared" si="26"/>
        <v>18.100000000000023</v>
      </c>
      <c r="C306" s="9">
        <f t="shared" si="27"/>
        <v>6.7000000000000455</v>
      </c>
      <c r="D306" s="10" t="str">
        <f>TRIM(Compilation!F248)</f>
        <v>T L</v>
      </c>
      <c r="E306" s="11" t="str">
        <f>Compilation!I248</f>
        <v>(SS) Rt 104 / E. Main St</v>
      </c>
      <c r="F306" s="32"/>
      <c r="G306" s="45">
        <f>Compilation!J248</f>
      </c>
      <c r="H306" s="3">
        <f t="shared" si="28"/>
      </c>
      <c r="I306" s="3">
        <f t="shared" si="29"/>
        <v>13</v>
      </c>
      <c r="J306" s="12">
        <f>IF(ISNUMBER(FIND("Controle",H306)),MATCH(H306,Controle!B:B,0),"")</f>
      </c>
      <c r="K306" s="7">
        <f t="shared" si="30"/>
        <v>446.5</v>
      </c>
      <c r="L306" s="7" t="str">
        <f t="shared" si="31"/>
        <v>(SS) Rt 104 / E. Main St</v>
      </c>
      <c r="M306" s="13"/>
    </row>
    <row r="307" spans="1:13" ht="33">
      <c r="A307" s="9">
        <f>Compilation!E249</f>
        <v>465.1</v>
      </c>
      <c r="B307" s="9">
        <f t="shared" si="26"/>
        <v>18.600000000000023</v>
      </c>
      <c r="C307" s="9">
        <f t="shared" si="27"/>
        <v>0.5</v>
      </c>
      <c r="D307" s="10" t="str">
        <f>TRIM(Compilation!F249)</f>
        <v>R</v>
      </c>
      <c r="E307" s="11" t="str">
        <f>Compilation!I249</f>
        <v>TRO Rt 104 (Rt 522 continues straight) (limited services ahead) </v>
      </c>
      <c r="F307" s="32"/>
      <c r="G307" s="45" t="str">
        <f>Compilation!J249</f>
        <v>MiniMart</v>
      </c>
      <c r="H307" s="3">
        <f t="shared" si="28"/>
      </c>
      <c r="I307" s="3">
        <f t="shared" si="29"/>
        <v>13</v>
      </c>
      <c r="J307" s="12">
        <f>IF(ISNUMBER(FIND("Controle",H307)),MATCH(H307,Controle!B:B,0),"")</f>
      </c>
      <c r="K307" s="7">
        <f t="shared" si="30"/>
        <v>446.5</v>
      </c>
      <c r="L307" s="7" t="str">
        <f t="shared" si="31"/>
        <v>TRO Rt 104 (Rt 522 continues straight) (limited services ahead) </v>
      </c>
      <c r="M307" s="13"/>
    </row>
    <row r="308" spans="1:13" ht="33">
      <c r="A308" s="9">
        <f>Compilation!E250</f>
        <v>470</v>
      </c>
      <c r="B308" s="9">
        <f t="shared" si="26"/>
        <v>23.5</v>
      </c>
      <c r="C308" s="9">
        <f>A308-A307</f>
        <v>4.899999999999977</v>
      </c>
      <c r="D308" s="10" t="str">
        <f>TRIM(Compilation!F250)</f>
        <v>***R</v>
      </c>
      <c r="E308" s="11" t="str">
        <f>Compilation!I250</f>
        <v>Heister Valley Rd / Rt 3006 after climb look for mulch bins on left </v>
      </c>
      <c r="F308" s="32"/>
      <c r="G308" s="45" t="str">
        <f>Compilation!J250</f>
        <v>cafe off-course ahead Jct 35</v>
      </c>
      <c r="H308" s="3">
        <f t="shared" si="28"/>
      </c>
      <c r="I308" s="3">
        <f>IF(LEFT(E308,8)="Controle",I307+1,I307)</f>
        <v>13</v>
      </c>
      <c r="J308" s="12">
        <f>IF(ISNUMBER(FIND("Controle",H308)),MATCH(H308,Controle!B:B,0),"")</f>
      </c>
      <c r="K308" s="7">
        <f>IF(H307&lt;&gt;"",A308,K307)</f>
        <v>446.5</v>
      </c>
      <c r="L308" s="7" t="str">
        <f t="shared" si="31"/>
        <v>Heister Valley Rd / Rt 3006 after climb look for mulch bins on left </v>
      </c>
      <c r="M308" s="13"/>
    </row>
    <row r="309" spans="1:13" ht="16.5">
      <c r="A309" s="9">
        <f>Compilation!E251</f>
        <v>476.4</v>
      </c>
      <c r="B309" s="9">
        <f t="shared" si="26"/>
        <v>29.899999999999977</v>
      </c>
      <c r="C309" s="9">
        <f t="shared" si="27"/>
        <v>6.399999999999977</v>
      </c>
      <c r="D309" s="10" t="str">
        <f>TRIM(Compilation!F251)</f>
        <v>***R</v>
      </c>
      <c r="E309" s="11" t="str">
        <f>Compilation!I251</f>
        <v>Mountain Rd / Rt 3006</v>
      </c>
      <c r="F309" s="32"/>
      <c r="G309" s="45">
        <f>Compilation!J251</f>
      </c>
      <c r="H309" s="3">
        <f t="shared" si="28"/>
      </c>
      <c r="I309" s="3">
        <f t="shared" si="29"/>
        <v>13</v>
      </c>
      <c r="J309" s="12">
        <f>IF(ISNUMBER(FIND("Controle",H309)),MATCH(H309,Controle!B:B,0),"")</f>
      </c>
      <c r="K309" s="7">
        <f t="shared" si="30"/>
        <v>446.5</v>
      </c>
      <c r="L309" s="7" t="str">
        <f t="shared" si="31"/>
        <v>Mountain Rd / Rt 3006</v>
      </c>
      <c r="M309" s="13"/>
    </row>
    <row r="310" spans="1:13" ht="49.5">
      <c r="A310" s="9">
        <f>Compilation!E252</f>
        <v>478.9</v>
      </c>
      <c r="B310" s="9">
        <f t="shared" si="26"/>
        <v>32.39999999999998</v>
      </c>
      <c r="C310" s="9">
        <f t="shared" si="27"/>
        <v>2.5</v>
      </c>
      <c r="D310" s="10" t="str">
        <f>TRIM(Compilation!F252)</f>
        <v>Straight</v>
      </c>
      <c r="E310" s="11" t="str">
        <f>Compilation!I252</f>
        <v>(SS) (unmarked) TRO Mountain Rd / Rt 3006 (Middle Rd goes left here)</v>
      </c>
      <c r="F310" s="32"/>
      <c r="G310" s="45">
        <f>Compilation!J252</f>
      </c>
      <c r="H310" s="3">
        <f t="shared" si="28"/>
      </c>
      <c r="I310" s="3">
        <f t="shared" si="29"/>
        <v>13</v>
      </c>
      <c r="J310" s="12">
        <f>IF(ISNUMBER(FIND("Controle",H310)),MATCH(H310,Controle!B:B,0),"")</f>
      </c>
      <c r="K310" s="7">
        <f t="shared" si="30"/>
        <v>446.5</v>
      </c>
      <c r="L310" s="7" t="str">
        <f t="shared" si="31"/>
        <v>(SS) (unmarked) TRO Mountain Rd / Rt 3006 (Middle Rd goes left here)</v>
      </c>
      <c r="M310" s="13"/>
    </row>
    <row r="311" spans="1:13" ht="16.5">
      <c r="A311" s="9">
        <f>Compilation!E253</f>
        <v>479.9</v>
      </c>
      <c r="B311" s="9">
        <f t="shared" si="26"/>
        <v>33.39999999999998</v>
      </c>
      <c r="C311" s="9">
        <f t="shared" si="27"/>
        <v>1</v>
      </c>
      <c r="D311" s="10" t="str">
        <f>TRIM(Compilation!F253)</f>
        <v>***R</v>
      </c>
      <c r="E311" s="11" t="str">
        <f>Compilation!I253</f>
        <v>TRO Mountain Rd</v>
      </c>
      <c r="F311" s="32"/>
      <c r="G311" s="45">
        <f>Compilation!J253</f>
      </c>
      <c r="H311" s="3">
        <f t="shared" si="28"/>
      </c>
      <c r="I311" s="3">
        <f t="shared" si="29"/>
        <v>13</v>
      </c>
      <c r="J311" s="12">
        <f>IF(ISNUMBER(FIND("Controle",H311)),MATCH(H311,Controle!B:B,0),"")</f>
      </c>
      <c r="K311" s="7">
        <f t="shared" si="30"/>
        <v>446.5</v>
      </c>
      <c r="L311" s="7" t="str">
        <f t="shared" si="31"/>
        <v>TRO Mountain Rd</v>
      </c>
      <c r="M311" s="13"/>
    </row>
    <row r="312" spans="1:13" ht="33">
      <c r="A312" s="9">
        <f>Compilation!E254</f>
        <v>480.9</v>
      </c>
      <c r="B312" s="9">
        <f t="shared" si="26"/>
        <v>34.39999999999998</v>
      </c>
      <c r="C312" s="9">
        <f t="shared" si="27"/>
        <v>1</v>
      </c>
      <c r="D312" s="10" t="str">
        <f>TRIM(Compilation!F254)</f>
        <v>B R</v>
      </c>
      <c r="E312" s="11" t="str">
        <f>Compilation!I254</f>
        <v>(unmarked) Red Bank Rd ("Vineland Kosher" on left)</v>
      </c>
      <c r="F312" s="32"/>
      <c r="G312" s="45">
        <f>Compilation!J254</f>
      </c>
      <c r="H312" s="3">
        <f t="shared" si="28"/>
      </c>
      <c r="I312" s="3">
        <f t="shared" si="29"/>
        <v>13</v>
      </c>
      <c r="J312" s="12">
        <f>IF(ISNUMBER(FIND("Controle",H312)),MATCH(H312,Controle!B:B,0),"")</f>
      </c>
      <c r="K312" s="7">
        <f t="shared" si="30"/>
        <v>446.5</v>
      </c>
      <c r="L312" s="7" t="str">
        <f t="shared" si="31"/>
        <v>(unmarked) Red Bank Rd ("Vineland Kosher" on left)</v>
      </c>
      <c r="M312" s="13"/>
    </row>
    <row r="313" spans="1:13" ht="33">
      <c r="A313" s="9">
        <f>Compilation!E255</f>
        <v>481.5</v>
      </c>
      <c r="B313" s="9">
        <f t="shared" si="26"/>
        <v>35</v>
      </c>
      <c r="C313" s="9">
        <f t="shared" si="27"/>
        <v>0.6000000000000227</v>
      </c>
      <c r="D313" s="10" t="str">
        <f>TRIM(Compilation!F255)</f>
        <v>T R</v>
      </c>
      <c r="E313" s="11" t="str">
        <f>Compilation!I255</f>
        <v>TRO Red Bank Rd  (Apple Rd goes left)</v>
      </c>
      <c r="F313" s="32"/>
      <c r="G313" s="45">
        <f>Compilation!J255</f>
      </c>
      <c r="H313" s="3">
        <f t="shared" si="28"/>
      </c>
      <c r="I313" s="3">
        <f t="shared" si="29"/>
        <v>13</v>
      </c>
      <c r="J313" s="12">
        <f>IF(ISNUMBER(FIND("Controle",H313)),MATCH(H313,Controle!B:B,0),"")</f>
      </c>
      <c r="K313" s="7">
        <f t="shared" si="30"/>
        <v>446.5</v>
      </c>
      <c r="L313" s="7" t="str">
        <f t="shared" si="31"/>
        <v>TRO Red Bank Rd  (Apple Rd goes left)</v>
      </c>
      <c r="M313" s="13"/>
    </row>
    <row r="314" spans="1:13" ht="16.5">
      <c r="A314" s="9">
        <f>Compilation!E256</f>
        <v>482.4</v>
      </c>
      <c r="B314" s="9">
        <f t="shared" si="26"/>
        <v>35.89999999999998</v>
      </c>
      <c r="C314" s="9">
        <f t="shared" si="27"/>
        <v>0.8999999999999773</v>
      </c>
      <c r="D314" s="10" t="str">
        <f>TRIM(Compilation!F256)</f>
        <v>T R</v>
      </c>
      <c r="E314" s="11" t="str">
        <f>Compilation!I256</f>
        <v>TRO Red Bank Rd / Rt 543</v>
      </c>
      <c r="F314" s="32"/>
      <c r="G314" s="45">
        <f>Compilation!J256</f>
      </c>
      <c r="H314" s="3">
        <f t="shared" si="28"/>
      </c>
      <c r="I314" s="3">
        <f t="shared" si="29"/>
        <v>13</v>
      </c>
      <c r="J314" s="12">
        <f>IF(ISNUMBER(FIND("Controle",H314)),MATCH(H314,Controle!B:B,0),"")</f>
      </c>
      <c r="K314" s="7">
        <f t="shared" si="30"/>
        <v>446.5</v>
      </c>
      <c r="L314" s="7" t="str">
        <f t="shared" si="31"/>
        <v>TRO Red Bank Rd / Rt 543</v>
      </c>
      <c r="M314" s="13"/>
    </row>
    <row r="315" spans="1:13" ht="16.5">
      <c r="A315" s="9">
        <f>Compilation!E257</f>
        <v>483.3</v>
      </c>
      <c r="B315" s="9">
        <f t="shared" si="26"/>
        <v>36.80000000000001</v>
      </c>
      <c r="C315" s="9">
        <f t="shared" si="27"/>
        <v>0.9000000000000341</v>
      </c>
      <c r="D315" s="10" t="str">
        <f>TRIM(Compilation!F257)</f>
        <v>T L</v>
      </c>
      <c r="E315" s="11" t="str">
        <f>Compilation!I257</f>
        <v>Foundary Rd</v>
      </c>
      <c r="F315" s="32"/>
      <c r="G315" s="45">
        <f>Compilation!J257</f>
      </c>
      <c r="H315" s="3">
        <f t="shared" si="28"/>
      </c>
      <c r="I315" s="3">
        <f t="shared" si="29"/>
        <v>13</v>
      </c>
      <c r="J315" s="12">
        <f>IF(ISNUMBER(FIND("Controle",H315)),MATCH(H315,Controle!B:B,0),"")</f>
      </c>
      <c r="K315" s="7">
        <f t="shared" si="30"/>
        <v>446.5</v>
      </c>
      <c r="L315" s="7" t="str">
        <f t="shared" si="31"/>
        <v>Foundary Rd</v>
      </c>
      <c r="M315" s="13"/>
    </row>
    <row r="316" spans="1:13" ht="16.5">
      <c r="A316" s="9">
        <f>Compilation!E258</f>
        <v>483.4</v>
      </c>
      <c r="B316" s="9">
        <f t="shared" si="26"/>
        <v>36.89999999999998</v>
      </c>
      <c r="C316" s="9">
        <f t="shared" si="27"/>
        <v>0.0999999999999659</v>
      </c>
      <c r="D316" s="10" t="str">
        <f>TRIM(Compilation!F258)</f>
        <v>1st R</v>
      </c>
      <c r="E316" s="11" t="str">
        <f>Compilation!I258</f>
        <v>Jamison Rd</v>
      </c>
      <c r="F316" s="32"/>
      <c r="G316" s="45">
        <f>Compilation!J258</f>
      </c>
      <c r="H316" s="3">
        <f t="shared" si="28"/>
      </c>
      <c r="I316" s="3">
        <f t="shared" si="29"/>
        <v>13</v>
      </c>
      <c r="J316" s="12">
        <f>IF(ISNUMBER(FIND("Controle",H316)),MATCH(H316,Controle!B:B,0),"")</f>
      </c>
      <c r="K316" s="7">
        <f t="shared" si="30"/>
        <v>446.5</v>
      </c>
      <c r="L316" s="7" t="str">
        <f t="shared" si="31"/>
        <v>Jamison Rd</v>
      </c>
      <c r="M316" s="13"/>
    </row>
    <row r="317" spans="1:13" ht="16.5">
      <c r="A317" s="9">
        <f>Compilation!E259</f>
        <v>484.2</v>
      </c>
      <c r="B317" s="9">
        <f t="shared" si="26"/>
        <v>37.69999999999999</v>
      </c>
      <c r="C317" s="9">
        <f t="shared" si="27"/>
        <v>0.8000000000000114</v>
      </c>
      <c r="D317" s="10" t="str">
        <f>TRIM(Compilation!F259)</f>
        <v>T R</v>
      </c>
      <c r="E317" s="11" t="str">
        <f>Compilation!I259</f>
        <v>Bunkertown Rd</v>
      </c>
      <c r="F317" s="32"/>
      <c r="G317" s="45">
        <f>Compilation!J259</f>
      </c>
      <c r="H317" s="3">
        <f t="shared" si="28"/>
      </c>
      <c r="I317" s="3">
        <f t="shared" si="29"/>
        <v>13</v>
      </c>
      <c r="J317" s="12">
        <f>IF(ISNUMBER(FIND("Controle",H317)),MATCH(H317,Controle!B:B,0),"")</f>
      </c>
      <c r="K317" s="7">
        <f t="shared" si="30"/>
        <v>446.5</v>
      </c>
      <c r="L317" s="7" t="str">
        <f t="shared" si="31"/>
        <v>Bunkertown Rd</v>
      </c>
      <c r="M317" s="13"/>
    </row>
    <row r="318" spans="1:13" ht="16.5">
      <c r="A318" s="9">
        <f>Compilation!E260</f>
        <v>484.3</v>
      </c>
      <c r="B318" s="9">
        <f t="shared" si="26"/>
        <v>37.80000000000001</v>
      </c>
      <c r="C318" s="9">
        <f t="shared" si="27"/>
        <v>0.10000000000002274</v>
      </c>
      <c r="D318" s="10" t="str">
        <f>TRIM(Compilation!F260)</f>
        <v>1st BL</v>
      </c>
      <c r="E318" s="11" t="str">
        <f>Compilation!I260</f>
        <v>Fairview Rd</v>
      </c>
      <c r="F318" s="32"/>
      <c r="G318" s="45">
        <f>Compilation!J260</f>
      </c>
      <c r="H318" s="3">
        <f t="shared" si="28"/>
      </c>
      <c r="I318" s="3">
        <f t="shared" si="29"/>
        <v>13</v>
      </c>
      <c r="J318" s="12">
        <f>IF(ISNUMBER(FIND("Controle",H318)),MATCH(H318,Controle!B:B,0),"")</f>
      </c>
      <c r="K318" s="7">
        <f t="shared" si="30"/>
        <v>446.5</v>
      </c>
      <c r="L318" s="7" t="str">
        <f t="shared" si="31"/>
        <v>Fairview Rd</v>
      </c>
      <c r="M318" s="13"/>
    </row>
    <row r="319" spans="1:13" ht="16.5">
      <c r="A319" s="9">
        <f>Compilation!E261</f>
        <v>486.4</v>
      </c>
      <c r="B319" s="9">
        <f t="shared" si="26"/>
        <v>39.89999999999998</v>
      </c>
      <c r="C319" s="9">
        <f t="shared" si="27"/>
        <v>2.099999999999966</v>
      </c>
      <c r="D319" s="10" t="str">
        <f>TRIM(Compilation!F261)</f>
        <v>X</v>
      </c>
      <c r="E319" s="11" t="str">
        <f>Compilation!I261</f>
        <v>(SS) Rt 235 TRO Fairview Rd</v>
      </c>
      <c r="F319" s="32"/>
      <c r="G319" s="45">
        <f>Compilation!J261</f>
      </c>
      <c r="H319" s="3">
        <f t="shared" si="28"/>
      </c>
      <c r="I319" s="3">
        <f t="shared" si="29"/>
        <v>13</v>
      </c>
      <c r="J319" s="12">
        <f>IF(ISNUMBER(FIND("Controle",H319)),MATCH(H319,Controle!B:B,0),"")</f>
      </c>
      <c r="K319" s="7">
        <f t="shared" si="30"/>
        <v>446.5</v>
      </c>
      <c r="L319" s="7" t="str">
        <f t="shared" si="31"/>
        <v>(SS) Rt 235 TRO Fairview Rd</v>
      </c>
      <c r="M319" s="13"/>
    </row>
    <row r="320" spans="1:13" ht="16.5">
      <c r="A320" s="9">
        <f>Compilation!E262</f>
        <v>487.3</v>
      </c>
      <c r="B320" s="9">
        <f t="shared" si="26"/>
        <v>40.80000000000001</v>
      </c>
      <c r="C320" s="9">
        <f t="shared" si="27"/>
        <v>0.9000000000000341</v>
      </c>
      <c r="D320" s="10" t="str">
        <f>TRIM(Compilation!F262)</f>
        <v>T L</v>
      </c>
      <c r="E320" s="11" t="str">
        <f>Compilation!I262</f>
        <v>(unmarked) Rt 1003</v>
      </c>
      <c r="F320" s="32"/>
      <c r="G320" s="45">
        <f>Compilation!J262</f>
      </c>
      <c r="H320" s="3">
        <f t="shared" si="28"/>
      </c>
      <c r="I320" s="3">
        <f t="shared" si="29"/>
        <v>13</v>
      </c>
      <c r="J320" s="12">
        <f>IF(ISNUMBER(FIND("Controle",H320)),MATCH(H320,Controle!B:B,0),"")</f>
      </c>
      <c r="K320" s="7">
        <f t="shared" si="30"/>
        <v>446.5</v>
      </c>
      <c r="L320" s="7" t="str">
        <f t="shared" si="31"/>
        <v>(unmarked) Rt 1003</v>
      </c>
      <c r="M320" s="13"/>
    </row>
    <row r="321" spans="1:13" ht="16.5">
      <c r="A321" s="9">
        <f>Compilation!E263</f>
        <v>487.9</v>
      </c>
      <c r="B321" s="9">
        <f t="shared" si="26"/>
        <v>41.39999999999998</v>
      </c>
      <c r="C321" s="9">
        <f t="shared" si="27"/>
        <v>0.5999999999999659</v>
      </c>
      <c r="D321" s="10" t="str">
        <f>TRIM(Compilation!F263)</f>
        <v>R</v>
      </c>
      <c r="E321" s="11" t="str">
        <f>Compilation!I263</f>
        <v>Sunset Dr</v>
      </c>
      <c r="F321" s="32"/>
      <c r="G321" s="45">
        <f>Compilation!J263</f>
      </c>
      <c r="H321" s="3">
        <f t="shared" si="28"/>
      </c>
      <c r="I321" s="3">
        <f t="shared" si="29"/>
        <v>13</v>
      </c>
      <c r="J321" s="12">
        <f>IF(ISNUMBER(FIND("Controle",H321)),MATCH(H321,Controle!B:B,0),"")</f>
      </c>
      <c r="K321" s="7">
        <f t="shared" si="30"/>
        <v>446.5</v>
      </c>
      <c r="L321" s="7" t="str">
        <f t="shared" si="31"/>
        <v>Sunset Dr</v>
      </c>
      <c r="M321" s="13"/>
    </row>
    <row r="322" spans="1:13" ht="33">
      <c r="A322" s="9">
        <f>Compilation!E264</f>
        <v>489.1</v>
      </c>
      <c r="B322" s="9">
        <f t="shared" si="26"/>
        <v>42.60000000000002</v>
      </c>
      <c r="C322" s="9">
        <f t="shared" si="27"/>
        <v>1.2000000000000455</v>
      </c>
      <c r="D322" s="10" t="str">
        <f>TRIM(Compilation!F264)</f>
        <v>TL + QR</v>
      </c>
      <c r="E322" s="11" t="str">
        <f>Compilation!I264</f>
        <v>TRO Sunset Dr / Rt 535 (crossing Oakland Rd)</v>
      </c>
      <c r="F322" s="32"/>
      <c r="G322" s="45">
        <f>Compilation!J264</f>
      </c>
      <c r="H322" s="3">
        <f t="shared" si="28"/>
      </c>
      <c r="I322" s="3">
        <f t="shared" si="29"/>
        <v>13</v>
      </c>
      <c r="J322" s="12">
        <f>IF(ISNUMBER(FIND("Controle",H322)),MATCH(H322,Controle!B:B,0),"")</f>
      </c>
      <c r="K322" s="7">
        <f t="shared" si="30"/>
        <v>446.5</v>
      </c>
      <c r="L322" s="7" t="str">
        <f t="shared" si="31"/>
        <v>TRO Sunset Dr / Rt 535 (crossing Oakland Rd)</v>
      </c>
      <c r="M322" s="13"/>
    </row>
    <row r="323" spans="1:13" ht="16.5">
      <c r="A323" s="9">
        <f>Compilation!E265</f>
        <v>489.7</v>
      </c>
      <c r="B323" s="9">
        <f t="shared" si="26"/>
        <v>43.19999999999999</v>
      </c>
      <c r="C323" s="9">
        <f t="shared" si="27"/>
        <v>0.5999999999999659</v>
      </c>
      <c r="D323" s="10" t="str">
        <f>TRIM(Compilation!F265)</f>
        <v>T L</v>
      </c>
      <c r="E323" s="11" t="str">
        <f>Compilation!I265</f>
        <v>Billyville Rd</v>
      </c>
      <c r="F323" s="32"/>
      <c r="G323" s="45">
        <f>Compilation!J265</f>
      </c>
      <c r="H323" s="3">
        <f t="shared" si="28"/>
      </c>
      <c r="I323" s="3">
        <f t="shared" si="29"/>
        <v>13</v>
      </c>
      <c r="J323" s="12">
        <f>IF(ISNUMBER(FIND("Controle",H323)),MATCH(H323,Controle!B:B,0),"")</f>
      </c>
      <c r="K323" s="7">
        <f t="shared" si="30"/>
        <v>446.5</v>
      </c>
      <c r="L323" s="7" t="str">
        <f t="shared" si="31"/>
        <v>Billyville Rd</v>
      </c>
      <c r="M323" s="13"/>
    </row>
    <row r="324" spans="1:13" ht="16.5">
      <c r="A324" s="9">
        <f>Compilation!E266</f>
        <v>490.3</v>
      </c>
      <c r="B324" s="9">
        <f t="shared" si="26"/>
        <v>43.80000000000001</v>
      </c>
      <c r="C324" s="9">
        <f t="shared" si="27"/>
        <v>0.6000000000000227</v>
      </c>
      <c r="D324" s="10" t="str">
        <f>TRIM(Compilation!F266)</f>
        <v>TL + QR</v>
      </c>
      <c r="E324" s="11" t="str">
        <f>Compilation!I266</f>
        <v>Jericho Rd (crossing Rt 1002)</v>
      </c>
      <c r="F324" s="32"/>
      <c r="G324" s="45">
        <f>Compilation!J266</f>
      </c>
      <c r="H324" s="3">
        <f t="shared" si="28"/>
      </c>
      <c r="I324" s="3">
        <f t="shared" si="29"/>
        <v>13</v>
      </c>
      <c r="J324" s="12">
        <f>IF(ISNUMBER(FIND("Controle",H324)),MATCH(H324,Controle!B:B,0),"")</f>
      </c>
      <c r="K324" s="7">
        <f t="shared" si="30"/>
        <v>446.5</v>
      </c>
      <c r="L324" s="7" t="str">
        <f t="shared" si="31"/>
        <v>Jericho Rd (crossing Rt 1002)</v>
      </c>
      <c r="M324" s="13"/>
    </row>
    <row r="325" spans="1:13" ht="33">
      <c r="A325" s="9">
        <f>Compilation!E267</f>
        <v>492.3</v>
      </c>
      <c r="B325" s="9">
        <f t="shared" si="26"/>
        <v>45.80000000000001</v>
      </c>
      <c r="C325" s="9">
        <f t="shared" si="27"/>
        <v>2</v>
      </c>
      <c r="D325" s="10" t="str">
        <f>TRIM(Compilation!F267)</f>
        <v>T R</v>
      </c>
      <c r="E325" s="11" t="str">
        <f>Compilation!I267</f>
        <v>Rt 35 / Washington Ave "Country Side Market" on right</v>
      </c>
      <c r="F325" s="32"/>
      <c r="G325" s="45">
        <f>Compilation!J267</f>
      </c>
      <c r="H325" s="3">
        <f t="shared" si="28"/>
      </c>
      <c r="I325" s="3">
        <f t="shared" si="29"/>
        <v>13</v>
      </c>
      <c r="J325" s="12">
        <f>IF(ISNUMBER(FIND("Controle",H325)),MATCH(H325,Controle!B:B,0),"")</f>
      </c>
      <c r="K325" s="7">
        <f t="shared" si="30"/>
        <v>446.5</v>
      </c>
      <c r="L325" s="7" t="str">
        <f t="shared" si="31"/>
        <v>Rt 35 / Washington Ave "Country Side Market" on right</v>
      </c>
      <c r="M325" s="13"/>
    </row>
    <row r="326" spans="1:13" ht="16.5">
      <c r="A326" s="9">
        <f>Compilation!E268</f>
        <v>493.7</v>
      </c>
      <c r="B326" s="9">
        <f t="shared" si="26"/>
        <v>47.19999999999999</v>
      </c>
      <c r="C326" s="9">
        <f t="shared" si="27"/>
        <v>1.3999999999999773</v>
      </c>
      <c r="D326" s="10" t="str">
        <f>TRIM(Compilation!F268)</f>
        <v>X</v>
      </c>
      <c r="E326" s="11" t="str">
        <f>Compilation!I268</f>
        <v>Rt 22 underpass</v>
      </c>
      <c r="F326" s="32"/>
      <c r="G326" s="45">
        <f>Compilation!J268</f>
      </c>
      <c r="H326" s="3">
        <f t="shared" si="28"/>
      </c>
      <c r="I326" s="3">
        <f t="shared" si="29"/>
        <v>13</v>
      </c>
      <c r="J326" s="12">
        <f>IF(ISNUMBER(FIND("Controle",H326)),MATCH(H326,Controle!B:B,0),"")</f>
      </c>
      <c r="K326" s="7">
        <f t="shared" si="30"/>
        <v>446.5</v>
      </c>
      <c r="L326" s="7" t="str">
        <f t="shared" si="31"/>
        <v>Rt 22 underpass</v>
      </c>
      <c r="M326" s="13"/>
    </row>
    <row r="327" spans="1:13" ht="43.5" thickBot="1">
      <c r="A327" s="9">
        <f>Compilation!E269</f>
        <v>494</v>
      </c>
      <c r="B327" s="9">
        <f t="shared" si="26"/>
        <v>47.5</v>
      </c>
      <c r="C327" s="9">
        <f>A327-A326</f>
        <v>0.30000000000001137</v>
      </c>
      <c r="D327" s="10" t="str">
        <f>TRIM(Compilation!F269)</f>
        <v>STOP</v>
      </c>
      <c r="E327" s="11" t="str">
        <f>Compilation!I269</f>
        <v>Controle Mifflintown Plaza on left (Tom's mini mart in plaza) </v>
      </c>
      <c r="F327" s="32"/>
      <c r="G327" s="45" t="str">
        <f>Compilation!J269</f>
        <v>MiniMart Restaurant FastFood Hotel</v>
      </c>
      <c r="H327" s="3" t="str">
        <f t="shared" si="28"/>
        <v>Controle 14</v>
      </c>
      <c r="I327" s="3">
        <f>IF(LEFT(E327,8)="Controle",I326+1,I326)</f>
        <v>14</v>
      </c>
      <c r="J327" s="12">
        <f>IF(ISNUMBER(FIND("Controle",H327)),MATCH(H327,Controle!B:B,0),"")</f>
        <v>42</v>
      </c>
      <c r="K327" s="7">
        <f>IF(H326&lt;&gt;"",A327,K326)</f>
        <v>446.5</v>
      </c>
      <c r="L327" s="7" t="str">
        <f t="shared" si="31"/>
        <v>Controle Mifflintown Plaza on left (Tom's mini mart in plaza) </v>
      </c>
      <c r="M327" s="13"/>
    </row>
    <row r="328" spans="1:12" ht="16.5">
      <c r="A328" s="53" t="str">
        <f>INDEX(Controle!H:H,Cue!J327)&amp;" "</f>
        <v>Controle 14 Tom's (717) 436-8943 </v>
      </c>
      <c r="B328" s="54"/>
      <c r="C328" s="54"/>
      <c r="D328" s="54"/>
      <c r="E328" s="55"/>
      <c r="F328" s="30"/>
      <c r="G328" s="43"/>
      <c r="H328" s="3">
        <f>IF(ISNUMBER(FIND("Controle",E328)),LEFT(E328,FIND(" ",E328,10)-1),"")</f>
      </c>
      <c r="I328" s="3">
        <f>IF(LEFT(E328,8)="Controle",I327+1,I327)</f>
        <v>14</v>
      </c>
      <c r="J328" s="12">
        <f>IF(ISNUMBER(FIND("Controle",H328)),MATCH(H328,Controle!B:B,0),"")</f>
      </c>
      <c r="K328" s="7">
        <f>IF(B327="Leg",A328,K327)</f>
        <v>446.5</v>
      </c>
      <c r="L328" s="7">
        <f aca="true" t="shared" si="32" ref="L328:L334">E328</f>
        <v>0</v>
      </c>
    </row>
    <row r="329" spans="1:12" ht="16.5">
      <c r="A329" s="50" t="str">
        <f>INDEX(Controle!H:H,Cue!J327+1)&amp;" "</f>
        <v>1 Stop 35 Plaza, Mifflintown, PA </v>
      </c>
      <c r="B329" s="51"/>
      <c r="C329" s="51"/>
      <c r="D329" s="51"/>
      <c r="E329" s="52"/>
      <c r="F329" s="30"/>
      <c r="G329" s="43"/>
      <c r="H329" s="3">
        <f>IF(ISNUMBER(FIND("Controle",E329)),LEFT(E329,FIND(" ",E329,10)-1),"")</f>
      </c>
      <c r="I329" s="3">
        <f>IF(LEFT(E329,8)="Controle",I328+1,I328)</f>
        <v>14</v>
      </c>
      <c r="J329" s="12">
        <f>IF(ISNUMBER(FIND("Controle",H329)),MATCH(H329,Controle!B:B,0),"")</f>
      </c>
      <c r="K329" s="7">
        <f>IF(B328="Leg",A329,K328)</f>
        <v>446.5</v>
      </c>
      <c r="L329" s="7">
        <f t="shared" si="32"/>
        <v>0</v>
      </c>
    </row>
    <row r="330" spans="1:13" ht="17.25" thickBot="1">
      <c r="A330" s="47" t="str">
        <f>INDEX(Controle!H:H,Cue!J327+2)&amp;" "</f>
        <v>close: Not Timed (on pace:  08/10 13:04) </v>
      </c>
      <c r="B330" s="48"/>
      <c r="C330" s="48"/>
      <c r="D330" s="48"/>
      <c r="E330" s="49"/>
      <c r="F330" s="31"/>
      <c r="G330" s="44"/>
      <c r="H330" s="3">
        <f>IF(ISNUMBER(FIND("Controle",E330)),LEFT(E330,FIND(" ",E330,10)-1),"")</f>
      </c>
      <c r="I330" s="3">
        <f>IF(LEFT(E330,8)="Controle",I329+1,I329)</f>
        <v>14</v>
      </c>
      <c r="J330" s="12">
        <f>IF(ISNUMBER(FIND("Controle",H330)),MATCH(H330,Controle!B:B,0),"")</f>
      </c>
      <c r="K330" s="7">
        <f>IF(B329="Leg",A330,K329)</f>
        <v>446.5</v>
      </c>
      <c r="L330" s="7">
        <f t="shared" si="32"/>
        <v>0</v>
      </c>
      <c r="M330" s="8"/>
    </row>
    <row r="331" spans="1:13" ht="33">
      <c r="A331" s="9">
        <f>Compilation!E270</f>
        <v>494</v>
      </c>
      <c r="B331" s="9">
        <f>A331-K331</f>
        <v>0</v>
      </c>
      <c r="C331" s="9">
        <f>A331-A327</f>
        <v>0</v>
      </c>
      <c r="D331" s="10" t="str">
        <f>TRIM(Compilation!F270)</f>
        <v>Continue</v>
      </c>
      <c r="E331" s="11" t="str">
        <f>Compilation!I270</f>
        <v>Leave controle turning left on Rt 35 out of driveway </v>
      </c>
      <c r="F331" s="32"/>
      <c r="G331" s="45" t="str">
        <f>Compilation!J270</f>
        <v>Limited services ahead</v>
      </c>
      <c r="H331" s="3">
        <f>IF(ISNUMBER(FIND("Controle",E331)),"Controle "&amp;I331,"")</f>
      </c>
      <c r="I331" s="3">
        <f>IF(LEFT(E331,8)="Controle",I327+1,I327)</f>
        <v>14</v>
      </c>
      <c r="J331" s="12">
        <f>IF(ISNUMBER(FIND("Controle",H331)),MATCH(H331,Controle!B:B,0),"")</f>
      </c>
      <c r="K331" s="7">
        <f>IF(H327&lt;&gt;"",A331,K327)</f>
        <v>494</v>
      </c>
      <c r="L331" s="7" t="str">
        <f t="shared" si="32"/>
        <v>Leave controle turning left on Rt 35 out of driveway </v>
      </c>
      <c r="M331" s="13"/>
    </row>
    <row r="332" spans="1:13" ht="33">
      <c r="A332" s="9">
        <f>Compilation!E271</f>
        <v>495.3</v>
      </c>
      <c r="B332" s="9">
        <f>A332-K332</f>
        <v>1.3000000000000114</v>
      </c>
      <c r="C332" s="9">
        <f>A332-A331</f>
        <v>1.3000000000000114</v>
      </c>
      <c r="D332" s="10" t="str">
        <f>TRIM(Compilation!F271)</f>
        <v>L</v>
      </c>
      <c r="E332" s="11" t="str">
        <f>Compilation!I271</f>
        <v>(TFL) TRO Rt 35 / Main St [Mifflintown]</v>
      </c>
      <c r="F332" s="32"/>
      <c r="G332" s="45">
        <f>Compilation!J271</f>
      </c>
      <c r="H332" s="3">
        <f>IF(ISNUMBER(FIND("Controle",E332)),"Controle "&amp;I332,"")</f>
      </c>
      <c r="I332" s="3">
        <f>IF(LEFT(E332,8)="Controle",I331+1,I331)</f>
        <v>14</v>
      </c>
      <c r="J332" s="12">
        <f>IF(ISNUMBER(FIND("Controle",H332)),MATCH(H332,Controle!B:B,0),"")</f>
      </c>
      <c r="K332" s="7">
        <f>IF(H331&lt;&gt;"",A332,K331)</f>
        <v>494</v>
      </c>
      <c r="L332" s="7" t="str">
        <f t="shared" si="32"/>
        <v>(TFL) TRO Rt 35 / Main St [Mifflintown]</v>
      </c>
      <c r="M332" s="13"/>
    </row>
    <row r="333" spans="1:13" ht="16.5">
      <c r="A333" s="9">
        <f>Compilation!E272</f>
        <v>495.5</v>
      </c>
      <c r="B333" s="9">
        <f>A333-K333</f>
        <v>1.5</v>
      </c>
      <c r="C333" s="9">
        <f>A333-A332</f>
        <v>0.19999999999998863</v>
      </c>
      <c r="D333" s="10" t="str">
        <f>TRIM(Compilation!F272)</f>
        <v>R</v>
      </c>
      <c r="E333" s="11" t="str">
        <f>Compilation!I272</f>
        <v>TRO Rt 35 at traffic circle</v>
      </c>
      <c r="F333" s="32"/>
      <c r="G333" s="45">
        <f>Compilation!J272</f>
      </c>
      <c r="H333" s="3">
        <f>IF(ISNUMBER(FIND("Controle",E333)),"Controle "&amp;I333,"")</f>
      </c>
      <c r="I333" s="3">
        <f>IF(LEFT(E333,8)="Controle",I332+1,I332)</f>
        <v>14</v>
      </c>
      <c r="J333" s="12">
        <f>IF(ISNUMBER(FIND("Controle",H333)),MATCH(H333,Controle!B:B,0),"")</f>
      </c>
      <c r="K333" s="7">
        <f>IF(H332&lt;&gt;"",A333,K332)</f>
        <v>494</v>
      </c>
      <c r="L333" s="7" t="str">
        <f t="shared" si="32"/>
        <v>TRO Rt 35 at traffic circle</v>
      </c>
      <c r="M333" s="13"/>
    </row>
    <row r="334" spans="1:13" ht="16.5">
      <c r="A334" s="9">
        <f>Compilation!E273</f>
        <v>495.7</v>
      </c>
      <c r="B334" s="9">
        <f>A334-K334</f>
        <v>1.6999999999999886</v>
      </c>
      <c r="C334" s="9">
        <f>A334-A333</f>
        <v>0.19999999999998863</v>
      </c>
      <c r="D334" s="10" t="str">
        <f>TRIM(Compilation!F273)</f>
        <v>X</v>
      </c>
      <c r="E334" s="11" t="str">
        <f>Compilation!I273</f>
        <v>Juniata River bridge</v>
      </c>
      <c r="F334" s="32"/>
      <c r="G334" s="45">
        <f>Compilation!J273</f>
      </c>
      <c r="H334" s="3">
        <f>IF(ISNUMBER(FIND("Controle",E334)),"Controle "&amp;I334,"")</f>
      </c>
      <c r="I334" s="3">
        <f>IF(LEFT(E334,8)="Controle",I333+1,I333)</f>
        <v>14</v>
      </c>
      <c r="J334" s="12">
        <f>IF(ISNUMBER(FIND("Controle",H334)),MATCH(H334,Controle!B:B,0),"")</f>
      </c>
      <c r="K334" s="7">
        <f>IF(H333&lt;&gt;"",A334,K333)</f>
        <v>494</v>
      </c>
      <c r="L334" s="7" t="str">
        <f t="shared" si="32"/>
        <v>Juniata River bridge</v>
      </c>
      <c r="M334" s="13"/>
    </row>
    <row r="335" spans="1:13" ht="33">
      <c r="A335" s="9">
        <f>Compilation!E274</f>
        <v>495.9</v>
      </c>
      <c r="B335" s="9">
        <f t="shared" si="26"/>
        <v>1.8999999999999773</v>
      </c>
      <c r="C335" s="9">
        <f>A335-A334</f>
        <v>0.19999999999998863</v>
      </c>
      <c r="D335" s="10" t="str">
        <f>TRIM(Compilation!F274)</f>
        <v>R</v>
      </c>
      <c r="E335" s="11" t="str">
        <f>Compilation!I274</f>
        <v>Rt 333 West (Limited services ahead) </v>
      </c>
      <c r="F335" s="32"/>
      <c r="G335" s="45" t="str">
        <f>Compilation!J274</f>
        <v>MiniMart</v>
      </c>
      <c r="H335" s="3">
        <f t="shared" si="28"/>
      </c>
      <c r="I335" s="3">
        <f>IF(LEFT(E335,8)="Controle",I331+1,I331)</f>
        <v>14</v>
      </c>
      <c r="J335" s="12">
        <f>IF(ISNUMBER(FIND("Controle",H335)),MATCH(H335,Controle!B:B,0),"")</f>
      </c>
      <c r="K335" s="7">
        <f>IF(H331&lt;&gt;"",A335,K331)</f>
        <v>494</v>
      </c>
      <c r="L335" s="7" t="str">
        <f t="shared" si="31"/>
        <v>Rt 333 West (Limited services ahead) </v>
      </c>
      <c r="M335" s="13"/>
    </row>
    <row r="336" spans="1:13" ht="33">
      <c r="A336" s="9">
        <f>Compilation!E275</f>
        <v>496.2</v>
      </c>
      <c r="B336" s="9">
        <f t="shared" si="26"/>
        <v>2.1999999999999886</v>
      </c>
      <c r="C336" s="9">
        <f t="shared" si="27"/>
        <v>0.30000000000001137</v>
      </c>
      <c r="D336" s="10" t="str">
        <f>TRIM(Compilation!F275)</f>
        <v>BL</v>
      </c>
      <c r="E336" s="11" t="str">
        <f>Compilation!I275</f>
        <v>FMR TRO Rt 333 / Licking St ('no trucks' sign)</v>
      </c>
      <c r="F336" s="32"/>
      <c r="G336" s="45">
        <f>Compilation!J275</f>
      </c>
      <c r="H336" s="3">
        <f t="shared" si="28"/>
      </c>
      <c r="I336" s="3">
        <f t="shared" si="29"/>
        <v>14</v>
      </c>
      <c r="J336" s="12">
        <f>IF(ISNUMBER(FIND("Controle",H336)),MATCH(H336,Controle!B:B,0),"")</f>
      </c>
      <c r="K336" s="7">
        <f t="shared" si="30"/>
        <v>494</v>
      </c>
      <c r="L336" s="7" t="str">
        <f t="shared" si="31"/>
        <v>FMR TRO Rt 333 / Licking St ('no trucks' sign)</v>
      </c>
      <c r="M336" s="13"/>
    </row>
    <row r="337" spans="1:13" ht="16.5">
      <c r="A337" s="9">
        <f>Compilation!E276</f>
        <v>496.3</v>
      </c>
      <c r="B337" s="9">
        <f t="shared" si="26"/>
        <v>2.3000000000000114</v>
      </c>
      <c r="C337" s="9">
        <f t="shared" si="27"/>
        <v>0.10000000000002274</v>
      </c>
      <c r="D337" s="10" t="str">
        <f>TRIM(Compilation!F276)</f>
        <v>QR</v>
      </c>
      <c r="E337" s="11" t="str">
        <f>Compilation!I276</f>
        <v>TRO Rt 333 / Foster St</v>
      </c>
      <c r="F337" s="32"/>
      <c r="G337" s="45">
        <f>Compilation!J276</f>
      </c>
      <c r="H337" s="3">
        <f t="shared" si="28"/>
      </c>
      <c r="I337" s="3">
        <f t="shared" si="29"/>
        <v>14</v>
      </c>
      <c r="J337" s="12">
        <f>IF(ISNUMBER(FIND("Controle",H337)),MATCH(H337,Controle!B:B,0),"")</f>
      </c>
      <c r="K337" s="7">
        <f t="shared" si="30"/>
        <v>494</v>
      </c>
      <c r="L337" s="7" t="str">
        <f t="shared" si="31"/>
        <v>TRO Rt 333 / Foster St</v>
      </c>
      <c r="M337" s="13"/>
    </row>
    <row r="338" spans="1:13" ht="16.5">
      <c r="A338" s="9">
        <f>Compilation!E277</f>
        <v>508.7</v>
      </c>
      <c r="B338" s="9">
        <f t="shared" si="26"/>
        <v>14.699999999999989</v>
      </c>
      <c r="C338" s="9">
        <f t="shared" si="27"/>
        <v>12.399999999999977</v>
      </c>
      <c r="D338" s="10" t="str">
        <f>TRIM(Compilation!F277)</f>
        <v>sharp L</v>
      </c>
      <c r="E338" s="11" t="str">
        <f>Compilation!I277</f>
        <v>(SS) Rt 103 South</v>
      </c>
      <c r="F338" s="32"/>
      <c r="G338" s="45">
        <f>Compilation!J277</f>
      </c>
      <c r="H338" s="3">
        <f t="shared" si="28"/>
      </c>
      <c r="I338" s="3">
        <f t="shared" si="29"/>
        <v>14</v>
      </c>
      <c r="J338" s="12">
        <f>IF(ISNUMBER(FIND("Controle",H338)),MATCH(H338,Controle!B:B,0),"")</f>
      </c>
      <c r="K338" s="7">
        <f t="shared" si="30"/>
        <v>494</v>
      </c>
      <c r="L338" s="7" t="str">
        <f t="shared" si="31"/>
        <v>(SS) Rt 103 South</v>
      </c>
      <c r="M338" s="13"/>
    </row>
    <row r="339" spans="1:13" ht="49.5">
      <c r="A339" s="9">
        <f>Compilation!E278</f>
        <v>519.3</v>
      </c>
      <c r="B339" s="9">
        <f t="shared" si="26"/>
        <v>25.299999999999955</v>
      </c>
      <c r="C339" s="9">
        <f t="shared" si="27"/>
        <v>10.599999999999966</v>
      </c>
      <c r="D339" s="10" t="str">
        <f>TRIM(Compilation!F278)</f>
        <v>***BL</v>
      </c>
      <c r="E339" s="11" t="str">
        <f>Compilation!I278</f>
        <v>(unmarked) Pleasant View Rd (LMR at right bend - just past "Matt's Excavation" on left)</v>
      </c>
      <c r="F339" s="32"/>
      <c r="G339" s="45">
        <f>Compilation!J278</f>
      </c>
      <c r="H339" s="3">
        <f t="shared" si="28"/>
      </c>
      <c r="I339" s="3">
        <f t="shared" si="29"/>
        <v>14</v>
      </c>
      <c r="J339" s="12">
        <f>IF(ISNUMBER(FIND("Controle",H339)),MATCH(H339,Controle!B:B,0),"")</f>
      </c>
      <c r="K339" s="7">
        <f t="shared" si="30"/>
        <v>494</v>
      </c>
      <c r="L339" s="7" t="str">
        <f t="shared" si="31"/>
        <v>(unmarked) Pleasant View Rd (LMR at right bend - just past "Matt's Excavation" on left)</v>
      </c>
      <c r="M339" s="13"/>
    </row>
    <row r="340" spans="1:13" ht="16.5">
      <c r="A340" s="9">
        <f>Compilation!E279</f>
        <v>520.1</v>
      </c>
      <c r="B340" s="9">
        <f t="shared" si="26"/>
        <v>26.100000000000023</v>
      </c>
      <c r="C340" s="9">
        <f t="shared" si="27"/>
        <v>0.8000000000000682</v>
      </c>
      <c r="D340" s="10" t="str">
        <f>TRIM(Compilation!F279)</f>
        <v>T L</v>
      </c>
      <c r="E340" s="11" t="str">
        <f>Compilation!I279</f>
        <v>(SS) Rt 103</v>
      </c>
      <c r="F340" s="32"/>
      <c r="G340" s="45">
        <f>Compilation!J279</f>
      </c>
      <c r="H340" s="3">
        <f t="shared" si="28"/>
      </c>
      <c r="I340" s="3">
        <f t="shared" si="29"/>
        <v>14</v>
      </c>
      <c r="J340" s="12">
        <f>IF(ISNUMBER(FIND("Controle",H340)),MATCH(H340,Controle!B:B,0),"")</f>
      </c>
      <c r="K340" s="7">
        <f t="shared" si="30"/>
        <v>494</v>
      </c>
      <c r="L340" s="7" t="str">
        <f t="shared" si="31"/>
        <v>(SS) Rt 103</v>
      </c>
      <c r="M340" s="13"/>
    </row>
    <row r="341" spans="1:13" ht="49.5">
      <c r="A341" s="9">
        <f>Compilation!E280</f>
        <v>530.2</v>
      </c>
      <c r="B341" s="9">
        <f t="shared" si="26"/>
        <v>36.200000000000045</v>
      </c>
      <c r="C341" s="9">
        <f t="shared" si="27"/>
        <v>10.100000000000023</v>
      </c>
      <c r="D341" s="10" t="str">
        <f>TRIM(Compilation!F280)</f>
        <v>R</v>
      </c>
      <c r="E341" s="11" t="str">
        <f>Compilation!I280</f>
        <v>Rt 3021 / Bridge St (look for bridge crossing Juniata River to Newton Hamilton)</v>
      </c>
      <c r="F341" s="32"/>
      <c r="G341" s="45">
        <f>Compilation!J280</f>
      </c>
      <c r="H341" s="3">
        <f t="shared" si="28"/>
      </c>
      <c r="I341" s="3">
        <f t="shared" si="29"/>
        <v>14</v>
      </c>
      <c r="J341" s="12">
        <f>IF(ISNUMBER(FIND("Controle",H341)),MATCH(H341,Controle!B:B,0),"")</f>
      </c>
      <c r="K341" s="7">
        <f t="shared" si="30"/>
        <v>494</v>
      </c>
      <c r="L341" s="7" t="str">
        <f t="shared" si="31"/>
        <v>Rt 3021 / Bridge St (look for bridge crossing Juniata River to Newton Hamilton)</v>
      </c>
      <c r="M341" s="13"/>
    </row>
    <row r="342" spans="1:13" ht="33">
      <c r="A342" s="9">
        <f>Compilation!E281</f>
        <v>530.3</v>
      </c>
      <c r="B342" s="9">
        <f t="shared" si="26"/>
        <v>36.299999999999955</v>
      </c>
      <c r="C342" s="9">
        <f t="shared" si="27"/>
        <v>0.09999999999990905</v>
      </c>
      <c r="D342" s="10" t="str">
        <f>TRIM(Compilation!F281)</f>
        <v>1st L</v>
      </c>
      <c r="E342" s="11" t="str">
        <f>Compilation!I281</f>
        <v>(SS) Water St b/c Fergunson Valley Rd / Rt 3017 </v>
      </c>
      <c r="F342" s="32"/>
      <c r="G342" s="45" t="str">
        <f>Compilation!J281</f>
        <v>Store</v>
      </c>
      <c r="H342" s="3">
        <f t="shared" si="28"/>
      </c>
      <c r="I342" s="3">
        <f t="shared" si="29"/>
        <v>14</v>
      </c>
      <c r="J342" s="12">
        <f>IF(ISNUMBER(FIND("Controle",H342)),MATCH(H342,Controle!B:B,0),"")</f>
      </c>
      <c r="K342" s="7">
        <f t="shared" si="30"/>
        <v>494</v>
      </c>
      <c r="L342" s="7" t="str">
        <f t="shared" si="31"/>
        <v>(SS) Water St b/c Fergunson Valley Rd / Rt 3017 </v>
      </c>
      <c r="M342" s="13"/>
    </row>
    <row r="343" spans="1:13" ht="33">
      <c r="A343" s="9">
        <f>Compilation!E282</f>
        <v>531.9</v>
      </c>
      <c r="B343" s="9">
        <f t="shared" si="26"/>
        <v>37.89999999999998</v>
      </c>
      <c r="C343" s="9">
        <f t="shared" si="27"/>
        <v>1.6000000000000227</v>
      </c>
      <c r="D343" s="10" t="str">
        <f>TRIM(Compilation!F282)</f>
        <v>R</v>
      </c>
      <c r="E343" s="11" t="str">
        <f>Compilation!I282</f>
        <v>Country Club Rd (dirt road goes straight) b/c Kistler Rd ahead </v>
      </c>
      <c r="F343" s="32"/>
      <c r="G343" s="45">
        <f>Compilation!J282</f>
      </c>
      <c r="H343" s="3">
        <f t="shared" si="28"/>
      </c>
      <c r="I343" s="3">
        <f t="shared" si="29"/>
        <v>14</v>
      </c>
      <c r="J343" s="12">
        <f>IF(ISNUMBER(FIND("Controle",H343)),MATCH(H343,Controle!B:B,0),"")</f>
      </c>
      <c r="K343" s="7">
        <f t="shared" si="30"/>
        <v>494</v>
      </c>
      <c r="L343" s="7" t="str">
        <f t="shared" si="31"/>
        <v>Country Club Rd (dirt road goes straight) b/c Kistler Rd ahead </v>
      </c>
      <c r="M343" s="13"/>
    </row>
    <row r="344" spans="1:13" ht="16.5">
      <c r="A344" s="9">
        <f>Compilation!E283</f>
        <v>533.3</v>
      </c>
      <c r="B344" s="9">
        <f t="shared" si="26"/>
        <v>39.299999999999955</v>
      </c>
      <c r="C344" s="9">
        <f t="shared" si="27"/>
        <v>1.3999999999999773</v>
      </c>
      <c r="D344" s="10" t="str">
        <f>TRIM(Compilation!F283)</f>
        <v>X</v>
      </c>
      <c r="E344" s="11" t="str">
        <f>Compilation!I283</f>
        <v>Juniata River bridge</v>
      </c>
      <c r="F344" s="32"/>
      <c r="G344" s="45">
        <f>Compilation!J283</f>
      </c>
      <c r="H344" s="3">
        <f t="shared" si="28"/>
      </c>
      <c r="I344" s="3">
        <f t="shared" si="29"/>
        <v>14</v>
      </c>
      <c r="J344" s="12">
        <f>IF(ISNUMBER(FIND("Controle",H344)),MATCH(H344,Controle!B:B,0),"")</f>
      </c>
      <c r="K344" s="7">
        <f t="shared" si="30"/>
        <v>494</v>
      </c>
      <c r="L344" s="7" t="str">
        <f t="shared" si="31"/>
        <v>Juniata River bridge</v>
      </c>
      <c r="M344" s="13"/>
    </row>
    <row r="345" spans="1:13" ht="49.5">
      <c r="A345" s="9">
        <f>Compilation!E284</f>
        <v>533.7</v>
      </c>
      <c r="B345" s="9">
        <f t="shared" si="26"/>
        <v>39.700000000000045</v>
      </c>
      <c r="C345" s="9">
        <f t="shared" si="27"/>
        <v>0.40000000000009095</v>
      </c>
      <c r="D345" s="10" t="str">
        <f>TRIM(Compilation!F284)</f>
        <v>Straight</v>
      </c>
      <c r="E345" s="11" t="str">
        <f>Compilation!I284</f>
        <v>(SS) Joining E Pennsylvania Ave (and becomes narrow one-way lane)</v>
      </c>
      <c r="F345" s="32"/>
      <c r="G345" s="45">
        <f>Compilation!J284</f>
      </c>
      <c r="H345" s="3">
        <f t="shared" si="28"/>
      </c>
      <c r="I345" s="3">
        <f t="shared" si="29"/>
        <v>14</v>
      </c>
      <c r="J345" s="12">
        <f>IF(ISNUMBER(FIND("Controle",H345)),MATCH(H345,Controle!B:B,0),"")</f>
      </c>
      <c r="K345" s="7">
        <f t="shared" si="30"/>
        <v>494</v>
      </c>
      <c r="L345" s="7" t="str">
        <f t="shared" si="31"/>
        <v>(SS) Joining E Pennsylvania Ave (and becomes narrow one-way lane)</v>
      </c>
      <c r="M345" s="13"/>
    </row>
    <row r="346" spans="1:13" ht="16.5">
      <c r="A346" s="9">
        <f>Compilation!E285</f>
        <v>533.9</v>
      </c>
      <c r="B346" s="9">
        <f t="shared" si="26"/>
        <v>39.89999999999998</v>
      </c>
      <c r="C346" s="9">
        <f t="shared" si="27"/>
        <v>0.1999999999999318</v>
      </c>
      <c r="D346" s="10" t="str">
        <f>TRIM(Compilation!F285)</f>
        <v>R</v>
      </c>
      <c r="E346" s="11" t="str">
        <f>Compilation!I285</f>
        <v>(SS) Rt 747 / N Jefferson St</v>
      </c>
      <c r="F346" s="32"/>
      <c r="G346" s="45">
        <f>Compilation!J285</f>
      </c>
      <c r="H346" s="3">
        <f t="shared" si="28"/>
      </c>
      <c r="I346" s="3">
        <f t="shared" si="29"/>
        <v>14</v>
      </c>
      <c r="J346" s="12">
        <f>IF(ISNUMBER(FIND("Controle",H346)),MATCH(H346,Controle!B:B,0),"")</f>
      </c>
      <c r="K346" s="7">
        <f t="shared" si="30"/>
        <v>494</v>
      </c>
      <c r="L346" s="7" t="str">
        <f t="shared" si="31"/>
        <v>(SS) Rt 747 / N Jefferson St</v>
      </c>
      <c r="M346" s="13"/>
    </row>
    <row r="347" spans="1:13" ht="33.75" thickBot="1">
      <c r="A347" s="9">
        <f>Compilation!E286</f>
        <v>533.9</v>
      </c>
      <c r="B347" s="9">
        <f t="shared" si="26"/>
        <v>39.89999999999998</v>
      </c>
      <c r="C347" s="9">
        <f>A347-A346</f>
        <v>0</v>
      </c>
      <c r="D347" s="10" t="str">
        <f>TRIM(Compilation!F286)</f>
        <v>STOP</v>
      </c>
      <c r="E347" s="11" t="str">
        <f>Compilation!I286</f>
        <v>Controle Sheetz on left Jct. Water St. </v>
      </c>
      <c r="F347" s="32"/>
      <c r="G347" s="45" t="str">
        <f>Compilation!J286</f>
        <v>MiniMart</v>
      </c>
      <c r="H347" s="3" t="str">
        <f t="shared" si="28"/>
        <v>Controle 15</v>
      </c>
      <c r="I347" s="3">
        <f>IF(LEFT(E347,8)="Controle",I346+1,I346)</f>
        <v>15</v>
      </c>
      <c r="J347" s="12">
        <f>IF(ISNUMBER(FIND("Controle",H347)),MATCH(H347,Controle!B:B,0),"")</f>
        <v>45</v>
      </c>
      <c r="K347" s="7">
        <f>IF(H346&lt;&gt;"",A347,K346)</f>
        <v>494</v>
      </c>
      <c r="L347" s="7" t="str">
        <f t="shared" si="31"/>
        <v>Controle Sheetz on left Jct. Water St. </v>
      </c>
      <c r="M347" s="13"/>
    </row>
    <row r="348" spans="1:12" ht="16.5">
      <c r="A348" s="53" t="str">
        <f>INDEX(Controle!H:H,Cue!J347)&amp;" "</f>
        <v>Controle 15 Sheetz (814) 542-8561 </v>
      </c>
      <c r="B348" s="54"/>
      <c r="C348" s="54"/>
      <c r="D348" s="54"/>
      <c r="E348" s="55"/>
      <c r="F348" s="30"/>
      <c r="G348" s="43"/>
      <c r="H348" s="3">
        <f>IF(ISNUMBER(FIND("Controle",E348)),LEFT(E348,FIND(" ",E348,10)-1),"")</f>
      </c>
      <c r="I348" s="3">
        <f>IF(LEFT(E348,8)="Controle",I347+1,I347)</f>
        <v>15</v>
      </c>
      <c r="J348" s="12">
        <f>IF(ISNUMBER(FIND("Controle",H348)),MATCH(H348,Controle!B:B,0),"")</f>
      </c>
      <c r="K348" s="7">
        <f>IF(B347="Leg",A348,K347)</f>
        <v>494</v>
      </c>
      <c r="L348" s="7">
        <f>E348</f>
        <v>0</v>
      </c>
    </row>
    <row r="349" spans="1:12" ht="16.5">
      <c r="A349" s="50" t="str">
        <f>INDEX(Controle!H:H,Cue!J347+1)&amp;" "</f>
        <v>201 N Jefferson St, Mt Union, PA </v>
      </c>
      <c r="B349" s="51"/>
      <c r="C349" s="51"/>
      <c r="D349" s="51"/>
      <c r="E349" s="52"/>
      <c r="F349" s="30"/>
      <c r="G349" s="43"/>
      <c r="H349" s="3">
        <f>IF(ISNUMBER(FIND("Controle",E349)),LEFT(E349,FIND(" ",E349,10)-1),"")</f>
      </c>
      <c r="I349" s="3">
        <f>IF(LEFT(E349,8)="Controle",I348+1,I348)</f>
        <v>15</v>
      </c>
      <c r="J349" s="12">
        <f>IF(ISNUMBER(FIND("Controle",H349)),MATCH(H349,Controle!B:B,0),"")</f>
      </c>
      <c r="K349" s="7">
        <f>IF(B348="Leg",A349,K348)</f>
        <v>494</v>
      </c>
      <c r="L349" s="7">
        <f>E349</f>
        <v>0</v>
      </c>
    </row>
    <row r="350" spans="1:13" ht="17.25" thickBot="1">
      <c r="A350" s="47" t="str">
        <f>INDEX(Controle!H:H,Cue!J347+2)&amp;" "</f>
        <v>open: 08/09 08:03  close: 08/10 18:40 </v>
      </c>
      <c r="B350" s="48"/>
      <c r="C350" s="48"/>
      <c r="D350" s="48"/>
      <c r="E350" s="49"/>
      <c r="F350" s="31"/>
      <c r="G350" s="44"/>
      <c r="H350" s="3">
        <f>IF(ISNUMBER(FIND("Controle",E350)),LEFT(E350,FIND(" ",E350,10)-1),"")</f>
      </c>
      <c r="I350" s="3">
        <f>IF(LEFT(E350,8)="Controle",I349+1,I349)</f>
        <v>15</v>
      </c>
      <c r="J350" s="12">
        <f>IF(ISNUMBER(FIND("Controle",H350)),MATCH(H350,Controle!B:B,0),"")</f>
      </c>
      <c r="K350" s="7">
        <f>IF(B349="Leg",A350,K349)</f>
        <v>494</v>
      </c>
      <c r="L350" s="7">
        <f>E350</f>
        <v>0</v>
      </c>
      <c r="M350" s="8"/>
    </row>
    <row r="351" spans="1:13" ht="49.5">
      <c r="A351" s="9">
        <f>Compilation!E287</f>
        <v>534</v>
      </c>
      <c r="B351" s="9">
        <f t="shared" si="26"/>
        <v>0</v>
      </c>
      <c r="C351" s="9">
        <f>A351-A347</f>
        <v>0.10000000000002274</v>
      </c>
      <c r="D351" s="10" t="str">
        <f>TRIM(Compilation!F287)</f>
        <v>Continue</v>
      </c>
      <c r="E351" s="11" t="str">
        <f>Compilation!I287</f>
        <v>Leave controle turning left onto Rt 747 / N Jefferson St (same direction)</v>
      </c>
      <c r="F351" s="32"/>
      <c r="G351" s="45">
        <f>Compilation!J287</f>
      </c>
      <c r="H351" s="3">
        <f t="shared" si="28"/>
      </c>
      <c r="I351" s="3">
        <f>IF(LEFT(E351,8)="Controle",I347+1,I347)</f>
        <v>15</v>
      </c>
      <c r="J351" s="12">
        <f>IF(ISNUMBER(FIND("Controle",H351)),MATCH(H351,Controle!B:B,0),"")</f>
      </c>
      <c r="K351" s="7">
        <f>IF(H347&lt;&gt;"",A351,K347)</f>
        <v>534</v>
      </c>
      <c r="L351" s="7" t="str">
        <f t="shared" si="31"/>
        <v>Leave controle turning left onto Rt 747 / N Jefferson St (same direction)</v>
      </c>
      <c r="M351" s="13"/>
    </row>
    <row r="352" spans="1:13" ht="33">
      <c r="A352" s="9">
        <f>Compilation!E288</f>
        <v>534.4</v>
      </c>
      <c r="B352" s="9">
        <f t="shared" si="26"/>
        <v>0.39999999999997726</v>
      </c>
      <c r="C352" s="9">
        <f t="shared" si="27"/>
        <v>0.39999999999997726</v>
      </c>
      <c r="D352" s="10" t="str">
        <f>TRIM(Compilation!F288)</f>
        <v>BL</v>
      </c>
      <c r="E352" s="11" t="str">
        <f>Compilation!I288</f>
        <v>FMR TRO Rt 747 (toward Juniata River bridge)</v>
      </c>
      <c r="F352" s="32"/>
      <c r="G352" s="45">
        <f>Compilation!J288</f>
      </c>
      <c r="H352" s="3">
        <f t="shared" si="28"/>
      </c>
      <c r="I352" s="3">
        <f t="shared" si="29"/>
        <v>15</v>
      </c>
      <c r="J352" s="12">
        <f>IF(ISNUMBER(FIND("Controle",H352)),MATCH(H352,Controle!B:B,0),"")</f>
      </c>
      <c r="K352" s="7">
        <f t="shared" si="30"/>
        <v>534</v>
      </c>
      <c r="L352" s="7" t="str">
        <f t="shared" si="31"/>
        <v>FMR TRO Rt 747 (toward Juniata River bridge)</v>
      </c>
      <c r="M352" s="13"/>
    </row>
    <row r="353" spans="1:13" ht="16.5">
      <c r="A353" s="9">
        <f>Compilation!E289</f>
        <v>534.5</v>
      </c>
      <c r="B353" s="9">
        <f t="shared" si="26"/>
        <v>0.5</v>
      </c>
      <c r="C353" s="9">
        <f t="shared" si="27"/>
        <v>0.10000000000002274</v>
      </c>
      <c r="D353" s="10" t="str">
        <f>TRIM(Compilation!F289)</f>
        <v>T L</v>
      </c>
      <c r="E353" s="11" t="str">
        <f>Compilation!I289</f>
        <v>(TFL) Rt 22 </v>
      </c>
      <c r="F353" s="32"/>
      <c r="G353" s="45" t="str">
        <f>Compilation!J289</f>
        <v>Pizza; Ice cream</v>
      </c>
      <c r="H353" s="3">
        <f t="shared" si="28"/>
      </c>
      <c r="I353" s="3">
        <f t="shared" si="29"/>
        <v>15</v>
      </c>
      <c r="J353" s="12">
        <f>IF(ISNUMBER(FIND("Controle",H353)),MATCH(H353,Controle!B:B,0),"")</f>
      </c>
      <c r="K353" s="7">
        <f t="shared" si="30"/>
        <v>534</v>
      </c>
      <c r="L353" s="7" t="str">
        <f t="shared" si="31"/>
        <v>(TFL) Rt 22 </v>
      </c>
      <c r="M353" s="13"/>
    </row>
    <row r="354" spans="1:13" ht="33">
      <c r="A354" s="9">
        <f>Compilation!E290</f>
        <v>537.1</v>
      </c>
      <c r="B354" s="9">
        <f t="shared" si="26"/>
        <v>3.1000000000000227</v>
      </c>
      <c r="C354" s="9">
        <f>A354-A353</f>
        <v>2.6000000000000227</v>
      </c>
      <c r="D354" s="10" t="str">
        <f>TRIM(Compilation!F290)</f>
        <v>1st BL</v>
      </c>
      <c r="E354" s="11" t="str">
        <f>Compilation!I290</f>
        <v>Oriskany Rd / Rt 2020 (look for "To 655") </v>
      </c>
      <c r="F354" s="32"/>
      <c r="G354" s="45" t="str">
        <f>Compilation!J290</f>
        <v>MiniMart</v>
      </c>
      <c r="H354" s="3">
        <f t="shared" si="28"/>
      </c>
      <c r="I354" s="3">
        <f>IF(LEFT(E354,8)="Controle",I353+1,I353)</f>
        <v>15</v>
      </c>
      <c r="J354" s="12">
        <f>IF(ISNUMBER(FIND("Controle",H354)),MATCH(H354,Controle!B:B,0),"")</f>
      </c>
      <c r="K354" s="7">
        <f>IF(H353&lt;&gt;"",A354,K353)</f>
        <v>534</v>
      </c>
      <c r="L354" s="7" t="str">
        <f t="shared" si="31"/>
        <v>Oriskany Rd / Rt 2020 (look for "To 655") </v>
      </c>
      <c r="M354" s="13"/>
    </row>
    <row r="355" spans="1:13" ht="33">
      <c r="A355" s="9">
        <f>Compilation!E291</f>
        <v>537.8</v>
      </c>
      <c r="B355" s="9">
        <f aca="true" t="shared" si="33" ref="B355:B430">A355-K355</f>
        <v>3.7999999999999545</v>
      </c>
      <c r="C355" s="9">
        <f>A355-A354</f>
        <v>0.6999999999999318</v>
      </c>
      <c r="D355" s="10" t="str">
        <f>TRIM(Compilation!F291)</f>
        <v>1st L</v>
      </c>
      <c r="E355" s="11" t="str">
        <f>Compilation!I291</f>
        <v>Bridge St / Rt 655 (crossing Juniata River bridge)</v>
      </c>
      <c r="F355" s="32"/>
      <c r="G355" s="45">
        <f>Compilation!J291</f>
      </c>
      <c r="H355" s="3">
        <f aca="true" t="shared" si="34" ref="H355:H430">IF(ISNUMBER(FIND("Controle",E355)),"Controle "&amp;I355,"")</f>
      </c>
      <c r="I355" s="3">
        <f>IF(LEFT(E355,8)="Controle",I354+1,I354)</f>
        <v>15</v>
      </c>
      <c r="J355" s="12">
        <f>IF(ISNUMBER(FIND("Controle",H355)),MATCH(H355,Controle!B:B,0),"")</f>
      </c>
      <c r="K355" s="7">
        <f>IF(H354&lt;&gt;"",A355,K354)</f>
        <v>534</v>
      </c>
      <c r="L355" s="7" t="str">
        <f aca="true" t="shared" si="35" ref="L355:L430">E355</f>
        <v>Bridge St / Rt 655 (crossing Juniata River bridge)</v>
      </c>
      <c r="M355" s="13"/>
    </row>
    <row r="356" spans="1:13" ht="33">
      <c r="A356" s="9">
        <f>Compilation!E292</f>
        <v>538</v>
      </c>
      <c r="B356" s="9">
        <f t="shared" si="33"/>
        <v>4</v>
      </c>
      <c r="C356" s="9">
        <f aca="true" t="shared" si="36" ref="C356:C430">A356-A355</f>
        <v>0.20000000000004547</v>
      </c>
      <c r="D356" s="10" t="str">
        <f>TRIM(Compilation!F292)</f>
        <v>BR</v>
      </c>
      <c r="E356" s="11" t="str">
        <f>Compilation!I292</f>
        <v>FMR TRO Rt 655 / Main St [Mapleton]</v>
      </c>
      <c r="F356" s="32"/>
      <c r="G356" s="45">
        <f>Compilation!J292</f>
      </c>
      <c r="H356" s="3">
        <f t="shared" si="34"/>
      </c>
      <c r="I356" s="3">
        <f aca="true" t="shared" si="37" ref="I356:I430">IF(LEFT(E356,8)="Controle",I355+1,I355)</f>
        <v>15</v>
      </c>
      <c r="J356" s="12">
        <f>IF(ISNUMBER(FIND("Controle",H356)),MATCH(H356,Controle!B:B,0),"")</f>
      </c>
      <c r="K356" s="7">
        <f aca="true" t="shared" si="38" ref="K356:K430">IF(H355&lt;&gt;"",A356,K355)</f>
        <v>534</v>
      </c>
      <c r="L356" s="7" t="str">
        <f t="shared" si="35"/>
        <v>FMR TRO Rt 655 / Main St [Mapleton]</v>
      </c>
      <c r="M356" s="13"/>
    </row>
    <row r="357" spans="1:13" ht="33">
      <c r="A357" s="9">
        <f>Compilation!E293</f>
        <v>538.1</v>
      </c>
      <c r="B357" s="9">
        <f t="shared" si="33"/>
        <v>4.100000000000023</v>
      </c>
      <c r="C357" s="9">
        <f t="shared" si="36"/>
        <v>0.10000000000002274</v>
      </c>
      <c r="D357" s="10" t="str">
        <f>TRIM(Compilation!F293)</f>
        <v>Straight</v>
      </c>
      <c r="E357" s="11" t="str">
        <f>Compilation!I293</f>
        <v>(unmarked) Maint St (Leaving Rt 655)</v>
      </c>
      <c r="F357" s="32"/>
      <c r="G357" s="45">
        <f>Compilation!J293</f>
      </c>
      <c r="H357" s="3">
        <f t="shared" si="34"/>
      </c>
      <c r="I357" s="3">
        <f t="shared" si="37"/>
        <v>15</v>
      </c>
      <c r="J357" s="12">
        <f>IF(ISNUMBER(FIND("Controle",H357)),MATCH(H357,Controle!B:B,0),"")</f>
      </c>
      <c r="K357" s="7">
        <f t="shared" si="38"/>
        <v>534</v>
      </c>
      <c r="L357" s="7" t="str">
        <f t="shared" si="35"/>
        <v>(unmarked) Maint St (Leaving Rt 655)</v>
      </c>
      <c r="M357" s="13"/>
    </row>
    <row r="358" spans="1:13" ht="16.5">
      <c r="A358" s="9">
        <f>Compilation!E294</f>
        <v>538.2</v>
      </c>
      <c r="B358" s="9">
        <f t="shared" si="33"/>
        <v>4.2000000000000455</v>
      </c>
      <c r="C358" s="9">
        <f t="shared" si="36"/>
        <v>0.10000000000002274</v>
      </c>
      <c r="D358" s="10" t="str">
        <f>TRIM(Compilation!F294)</f>
        <v>R</v>
      </c>
      <c r="E358" s="11" t="str">
        <f>Compilation!I294</f>
        <v>(SS) Callohill St / Rt 3029</v>
      </c>
      <c r="F358" s="32"/>
      <c r="G358" s="45">
        <f>Compilation!J294</f>
      </c>
      <c r="H358" s="3">
        <f t="shared" si="34"/>
      </c>
      <c r="I358" s="3">
        <f t="shared" si="37"/>
        <v>15</v>
      </c>
      <c r="J358" s="12">
        <f>IF(ISNUMBER(FIND("Controle",H358)),MATCH(H358,Controle!B:B,0),"")</f>
      </c>
      <c r="K358" s="7">
        <f t="shared" si="38"/>
        <v>534</v>
      </c>
      <c r="L358" s="7" t="str">
        <f t="shared" si="35"/>
        <v>(SS) Callohill St / Rt 3029</v>
      </c>
      <c r="M358" s="13"/>
    </row>
    <row r="359" spans="1:13" ht="33">
      <c r="A359" s="9">
        <f>Compilation!E295</f>
        <v>538.9</v>
      </c>
      <c r="B359" s="9">
        <f t="shared" si="33"/>
        <v>4.899999999999977</v>
      </c>
      <c r="C359" s="9">
        <f t="shared" si="36"/>
        <v>0.6999999999999318</v>
      </c>
      <c r="D359" s="10" t="str">
        <f>TRIM(Compilation!F295)</f>
        <v>BL</v>
      </c>
      <c r="E359" s="11" t="str">
        <f>Compilation!I295</f>
        <v>(unmarked) Smith Valley Rd / Rt 3029 (Jct River Rd near school)</v>
      </c>
      <c r="F359" s="32"/>
      <c r="G359" s="45">
        <f>Compilation!J295</f>
      </c>
      <c r="H359" s="3">
        <f t="shared" si="34"/>
      </c>
      <c r="I359" s="3">
        <f t="shared" si="37"/>
        <v>15</v>
      </c>
      <c r="J359" s="12">
        <f>IF(ISNUMBER(FIND("Controle",H359)),MATCH(H359,Controle!B:B,0),"")</f>
      </c>
      <c r="K359" s="7">
        <f t="shared" si="38"/>
        <v>534</v>
      </c>
      <c r="L359" s="7" t="str">
        <f t="shared" si="35"/>
        <v>(unmarked) Smith Valley Rd / Rt 3029 (Jct River Rd near school)</v>
      </c>
      <c r="M359" s="13"/>
    </row>
    <row r="360" spans="1:13" ht="33">
      <c r="A360" s="9">
        <f>Compilation!E296</f>
        <v>539.7</v>
      </c>
      <c r="B360" s="9">
        <f t="shared" si="33"/>
        <v>5.7000000000000455</v>
      </c>
      <c r="C360" s="9">
        <f t="shared" si="36"/>
        <v>0.8000000000000682</v>
      </c>
      <c r="D360" s="10" t="str">
        <f>TRIM(Compilation!F296)</f>
        <v>1st R</v>
      </c>
      <c r="E360" s="11" t="str">
        <f>Compilation!I296</f>
        <v>(unmakred) Rt 3049 / Polecat Hollow Rd (following Bike Route)</v>
      </c>
      <c r="F360" s="32"/>
      <c r="G360" s="45">
        <f>Compilation!J296</f>
      </c>
      <c r="H360" s="3">
        <f t="shared" si="34"/>
      </c>
      <c r="I360" s="3">
        <f t="shared" si="37"/>
        <v>15</v>
      </c>
      <c r="J360" s="12">
        <f>IF(ISNUMBER(FIND("Controle",H360)),MATCH(H360,Controle!B:B,0),"")</f>
      </c>
      <c r="K360" s="7">
        <f t="shared" si="38"/>
        <v>534</v>
      </c>
      <c r="L360" s="7" t="str">
        <f t="shared" si="35"/>
        <v>(unmakred) Rt 3049 / Polecat Hollow Rd (following Bike Route)</v>
      </c>
      <c r="M360" s="13"/>
    </row>
    <row r="361" spans="1:13" ht="16.5">
      <c r="A361" s="9">
        <f>Compilation!E297</f>
        <v>541</v>
      </c>
      <c r="B361" s="9">
        <f t="shared" si="33"/>
        <v>7</v>
      </c>
      <c r="C361" s="9">
        <f t="shared" si="36"/>
        <v>1.2999999999999545</v>
      </c>
      <c r="D361" s="10" t="str">
        <f>TRIM(Compilation!F297)</f>
        <v>T R</v>
      </c>
      <c r="E361" s="11" t="str">
        <f>Compilation!I297</f>
        <v>(SS) Rt 829</v>
      </c>
      <c r="F361" s="32"/>
      <c r="G361" s="45">
        <f>Compilation!J297</f>
      </c>
      <c r="H361" s="3">
        <f t="shared" si="34"/>
      </c>
      <c r="I361" s="3">
        <f t="shared" si="37"/>
        <v>15</v>
      </c>
      <c r="J361" s="12">
        <f>IF(ISNUMBER(FIND("Controle",H361)),MATCH(H361,Controle!B:B,0),"")</f>
      </c>
      <c r="K361" s="7">
        <f t="shared" si="38"/>
        <v>534</v>
      </c>
      <c r="L361" s="7" t="str">
        <f t="shared" si="35"/>
        <v>(SS) Rt 829</v>
      </c>
      <c r="M361" s="13"/>
    </row>
    <row r="362" spans="1:13" ht="16.5">
      <c r="A362" s="9">
        <f>Compilation!E298</f>
        <v>542.3</v>
      </c>
      <c r="B362" s="9">
        <f t="shared" si="33"/>
        <v>8.299999999999955</v>
      </c>
      <c r="C362" s="9">
        <f t="shared" si="36"/>
        <v>1.2999999999999545</v>
      </c>
      <c r="D362" s="10" t="str">
        <f>TRIM(Compilation!F298)</f>
        <v>X</v>
      </c>
      <c r="E362" s="11" t="str">
        <f>Compilation!I298</f>
        <v>Juniata River bridge [Mill Creek]</v>
      </c>
      <c r="F362" s="32"/>
      <c r="G362" s="45">
        <f>Compilation!J298</f>
      </c>
      <c r="H362" s="3">
        <f t="shared" si="34"/>
      </c>
      <c r="I362" s="3">
        <f t="shared" si="37"/>
        <v>15</v>
      </c>
      <c r="J362" s="12">
        <f>IF(ISNUMBER(FIND("Controle",H362)),MATCH(H362,Controle!B:B,0),"")</f>
      </c>
      <c r="K362" s="7">
        <f t="shared" si="38"/>
        <v>534</v>
      </c>
      <c r="L362" s="7" t="str">
        <f t="shared" si="35"/>
        <v>Juniata River bridge [Mill Creek]</v>
      </c>
      <c r="M362" s="13"/>
    </row>
    <row r="363" spans="1:13" ht="16.5">
      <c r="A363" s="9">
        <f>Compilation!E299</f>
        <v>542.6</v>
      </c>
      <c r="B363" s="9">
        <f t="shared" si="33"/>
        <v>8.600000000000023</v>
      </c>
      <c r="C363" s="9">
        <f t="shared" si="36"/>
        <v>0.3000000000000682</v>
      </c>
      <c r="D363" s="10" t="str">
        <f>TRIM(Compilation!F299)</f>
        <v>T R</v>
      </c>
      <c r="E363" s="11" t="str">
        <f>Compilation!I299</f>
        <v>Rt 22 </v>
      </c>
      <c r="F363" s="32"/>
      <c r="G363" s="45" t="str">
        <f>Compilation!J299</f>
        <v>Restaurant</v>
      </c>
      <c r="H363" s="3">
        <f t="shared" si="34"/>
      </c>
      <c r="I363" s="3">
        <f t="shared" si="37"/>
        <v>15</v>
      </c>
      <c r="J363" s="12">
        <f>IF(ISNUMBER(FIND("Controle",H363)),MATCH(H363,Controle!B:B,0),"")</f>
      </c>
      <c r="K363" s="7">
        <f t="shared" si="38"/>
        <v>534</v>
      </c>
      <c r="L363" s="7" t="str">
        <f t="shared" si="35"/>
        <v>Rt 22 </v>
      </c>
      <c r="M363" s="13"/>
    </row>
    <row r="364" spans="1:13" ht="16.5">
      <c r="A364" s="9">
        <f>Compilation!E300</f>
        <v>542.7</v>
      </c>
      <c r="B364" s="9">
        <f t="shared" si="33"/>
        <v>8.700000000000045</v>
      </c>
      <c r="C364" s="9">
        <f t="shared" si="36"/>
        <v>0.10000000000002274</v>
      </c>
      <c r="D364" s="10" t="str">
        <f>TRIM(Compilation!F300)</f>
        <v>Pass</v>
      </c>
      <c r="E364" s="11" t="str">
        <f>Compilation!I300</f>
        <v>Kwik Fill </v>
      </c>
      <c r="F364" s="32"/>
      <c r="G364" s="45" t="str">
        <f>Compilation!J300</f>
        <v>MiniMart; Diner</v>
      </c>
      <c r="H364" s="3">
        <f t="shared" si="34"/>
      </c>
      <c r="I364" s="3">
        <f t="shared" si="37"/>
        <v>15</v>
      </c>
      <c r="J364" s="12">
        <f>IF(ISNUMBER(FIND("Controle",H364)),MATCH(H364,Controle!B:B,0),"")</f>
      </c>
      <c r="K364" s="7">
        <f t="shared" si="38"/>
        <v>534</v>
      </c>
      <c r="L364" s="7" t="str">
        <f t="shared" si="35"/>
        <v>Kwik Fill </v>
      </c>
      <c r="M364" s="13"/>
    </row>
    <row r="365" spans="1:13" ht="49.5">
      <c r="A365" s="9">
        <f>Compilation!E301</f>
        <v>543</v>
      </c>
      <c r="B365" s="9">
        <f t="shared" si="33"/>
        <v>9</v>
      </c>
      <c r="C365" s="9">
        <f t="shared" si="36"/>
        <v>0.2999999999999545</v>
      </c>
      <c r="D365" s="10" t="str">
        <f>TRIM(Compilation!F301)</f>
        <v>2nd L</v>
      </c>
      <c r="E365" s="11" t="str">
        <f>Compilation!I301</f>
        <v>Rt 1003 / Sugar Grove Rd (use turning lane) (Begin long steep climb)</v>
      </c>
      <c r="F365" s="32"/>
      <c r="G365" s="45">
        <f>Compilation!J301</f>
      </c>
      <c r="H365" s="3">
        <f t="shared" si="34"/>
      </c>
      <c r="I365" s="3">
        <f t="shared" si="37"/>
        <v>15</v>
      </c>
      <c r="J365" s="12">
        <f>IF(ISNUMBER(FIND("Controle",H365)),MATCH(H365,Controle!B:B,0),"")</f>
      </c>
      <c r="K365" s="7">
        <f t="shared" si="38"/>
        <v>534</v>
      </c>
      <c r="L365" s="7" t="str">
        <f t="shared" si="35"/>
        <v>Rt 1003 / Sugar Grove Rd (use turning lane) (Begin long steep climb)</v>
      </c>
      <c r="M365" s="13"/>
    </row>
    <row r="366" spans="1:13" ht="33">
      <c r="A366" s="9">
        <f>Compilation!E302</f>
        <v>549</v>
      </c>
      <c r="B366" s="9">
        <f t="shared" si="33"/>
        <v>15</v>
      </c>
      <c r="C366" s="9">
        <f t="shared" si="36"/>
        <v>6</v>
      </c>
      <c r="D366" s="10" t="str">
        <f>TRIM(Compilation!F302)</f>
        <v>T R</v>
      </c>
      <c r="E366" s="11" t="str">
        <f>Compilation!I302</f>
        <v>Rt 1001 / Stone Creek Ridge Rd (Top of climb)</v>
      </c>
      <c r="F366" s="32"/>
      <c r="G366" s="45">
        <f>Compilation!J302</f>
      </c>
      <c r="H366" s="3">
        <f t="shared" si="34"/>
      </c>
      <c r="I366" s="3">
        <f t="shared" si="37"/>
        <v>15</v>
      </c>
      <c r="J366" s="12">
        <f>IF(ISNUMBER(FIND("Controle",H366)),MATCH(H366,Controle!B:B,0),"")</f>
      </c>
      <c r="K366" s="7">
        <f t="shared" si="38"/>
        <v>534</v>
      </c>
      <c r="L366" s="7" t="str">
        <f t="shared" si="35"/>
        <v>Rt 1001 / Stone Creek Ridge Rd (Top of climb)</v>
      </c>
      <c r="M366" s="13"/>
    </row>
    <row r="367" spans="1:13" ht="16.5">
      <c r="A367" s="9">
        <f>Compilation!E303</f>
        <v>555.9</v>
      </c>
      <c r="B367" s="9">
        <f t="shared" si="33"/>
        <v>21.899999999999977</v>
      </c>
      <c r="C367" s="9">
        <f t="shared" si="36"/>
        <v>6.899999999999977</v>
      </c>
      <c r="D367" s="10" t="str">
        <f>TRIM(Compilation!F303)</f>
        <v>T R</v>
      </c>
      <c r="E367" s="11" t="str">
        <f>Compilation!I303</f>
        <v>(SS) Rt 26 / Standing Stone Rd</v>
      </c>
      <c r="F367" s="32"/>
      <c r="G367" s="45">
        <f>Compilation!J303</f>
      </c>
      <c r="H367" s="3">
        <f t="shared" si="34"/>
      </c>
      <c r="I367" s="3">
        <f t="shared" si="37"/>
        <v>15</v>
      </c>
      <c r="J367" s="12">
        <f>IF(ISNUMBER(FIND("Controle",H367)),MATCH(H367,Controle!B:B,0),"")</f>
      </c>
      <c r="K367" s="7">
        <f t="shared" si="38"/>
        <v>534</v>
      </c>
      <c r="L367" s="7" t="str">
        <f t="shared" si="35"/>
        <v>(SS) Rt 26 / Standing Stone Rd</v>
      </c>
      <c r="M367" s="13"/>
    </row>
    <row r="368" spans="1:13" ht="16.5">
      <c r="A368" s="9">
        <f>Compilation!E304</f>
        <v>561.2</v>
      </c>
      <c r="B368" s="9">
        <f t="shared" si="33"/>
        <v>27.200000000000045</v>
      </c>
      <c r="C368" s="9">
        <f t="shared" si="36"/>
        <v>5.300000000000068</v>
      </c>
      <c r="D368" s="10" t="str">
        <f>TRIM(Compilation!F304)</f>
        <v>BR</v>
      </c>
      <c r="E368" s="11" t="str">
        <f>Compilation!I304</f>
        <v>(SS) TRO Rt 26 (Jct Rt 305)</v>
      </c>
      <c r="F368" s="32"/>
      <c r="G368" s="45">
        <f>Compilation!J304</f>
      </c>
      <c r="H368" s="3">
        <f t="shared" si="34"/>
      </c>
      <c r="I368" s="3">
        <f t="shared" si="37"/>
        <v>15</v>
      </c>
      <c r="J368" s="12">
        <f>IF(ISNUMBER(FIND("Controle",H368)),MATCH(H368,Controle!B:B,0),"")</f>
      </c>
      <c r="K368" s="7">
        <f t="shared" si="38"/>
        <v>534</v>
      </c>
      <c r="L368" s="7" t="str">
        <f t="shared" si="35"/>
        <v>(SS) TRO Rt 26 (Jct Rt 305)</v>
      </c>
      <c r="M368" s="13"/>
    </row>
    <row r="369" spans="1:13" ht="33">
      <c r="A369" s="9">
        <f>Compilation!E305</f>
        <v>566</v>
      </c>
      <c r="B369" s="9">
        <f t="shared" si="33"/>
        <v>32</v>
      </c>
      <c r="C369" s="9">
        <f t="shared" si="36"/>
        <v>4.7999999999999545</v>
      </c>
      <c r="D369" s="10" t="str">
        <f>TRIM(Compilation!F305)</f>
        <v>Pass</v>
      </c>
      <c r="E369" s="11" t="str">
        <f>Compilation!I305</f>
        <v>Whipple Dam Store and "Doan's Bones BBQ"  on right </v>
      </c>
      <c r="F369" s="32"/>
      <c r="G369" s="45" t="str">
        <f>Compilation!J305</f>
        <v>MiniMart Restaurant </v>
      </c>
      <c r="H369" s="3">
        <f t="shared" si="34"/>
      </c>
      <c r="I369" s="3">
        <f t="shared" si="37"/>
        <v>15</v>
      </c>
      <c r="J369" s="12">
        <f>IF(ISNUMBER(FIND("Controle",H369)),MATCH(H369,Controle!B:B,0),"")</f>
      </c>
      <c r="K369" s="7">
        <f t="shared" si="38"/>
        <v>534</v>
      </c>
      <c r="L369" s="7" t="str">
        <f t="shared" si="35"/>
        <v>Whipple Dam Store and "Doan's Bones BBQ"  on right </v>
      </c>
      <c r="M369" s="13"/>
    </row>
    <row r="370" spans="1:13" ht="49.5">
      <c r="A370" s="9">
        <f>Compilation!E306</f>
        <v>569.6</v>
      </c>
      <c r="B370" s="9">
        <f t="shared" si="33"/>
        <v>35.60000000000002</v>
      </c>
      <c r="C370" s="9">
        <f>A370-A369</f>
        <v>3.6000000000000227</v>
      </c>
      <c r="D370" s="10" t="str">
        <f>TRIM(Compilation!F306)</f>
        <v>Pass</v>
      </c>
      <c r="E370" s="11" t="str">
        <f>Compilation!I306</f>
        <v>Jo Hayes Overlook parking area on left CAUTION: Steep twisty descent </v>
      </c>
      <c r="F370" s="32"/>
      <c r="G370" s="45" t="str">
        <f>Compilation!J306</f>
        <v>Scenic vista</v>
      </c>
      <c r="H370" s="3">
        <f t="shared" si="34"/>
      </c>
      <c r="I370" s="3">
        <f>IF(LEFT(E370,8)="Controle",I369+1,I369)</f>
        <v>15</v>
      </c>
      <c r="J370" s="12">
        <f>IF(ISNUMBER(FIND("Controle",H370)),MATCH(H370,Controle!B:B,0),"")</f>
      </c>
      <c r="K370" s="7">
        <f>IF(H369&lt;&gt;"",A370,K369)</f>
        <v>534</v>
      </c>
      <c r="L370" s="7" t="str">
        <f t="shared" si="35"/>
        <v>Jo Hayes Overlook parking area on left CAUTION: Steep twisty descent </v>
      </c>
      <c r="M370" s="13"/>
    </row>
    <row r="371" spans="1:13" ht="33.75" thickBot="1">
      <c r="A371" s="9">
        <f>Compilation!E307</f>
        <v>571.8</v>
      </c>
      <c r="B371" s="9">
        <f t="shared" si="33"/>
        <v>37.799999999999955</v>
      </c>
      <c r="C371" s="9">
        <f t="shared" si="36"/>
        <v>2.199999999999932</v>
      </c>
      <c r="D371" s="10" t="str">
        <f>TRIM(Compilation!F307)</f>
        <v>STOP</v>
      </c>
      <c r="E371" s="11" t="str">
        <f>Compilation!I307</f>
        <v>Controle Shell MiniMart at TFL Jct Rt 45 [Pine Grove Mills] </v>
      </c>
      <c r="F371" s="32"/>
      <c r="G371" s="45" t="str">
        <f>Compilation!J307</f>
        <v>MiniMart</v>
      </c>
      <c r="H371" s="3" t="str">
        <f t="shared" si="34"/>
        <v>Controle 16</v>
      </c>
      <c r="I371" s="3">
        <f t="shared" si="37"/>
        <v>16</v>
      </c>
      <c r="J371" s="12">
        <f>IF(ISNUMBER(FIND("Controle",H371)),MATCH(H371,Controle!B:B,0),"")</f>
        <v>48</v>
      </c>
      <c r="K371" s="7">
        <f t="shared" si="38"/>
        <v>534</v>
      </c>
      <c r="L371" s="7" t="str">
        <f t="shared" si="35"/>
        <v>Controle Shell MiniMart at TFL Jct Rt 45 [Pine Grove Mills] </v>
      </c>
      <c r="M371" s="13"/>
    </row>
    <row r="372" spans="1:12" ht="16.5">
      <c r="A372" s="53" t="str">
        <f>INDEX(Controle!H:H,Cue!J371)&amp;" "</f>
        <v>Controle 16 Pine Grove Mills Shellmore (814) 238-9090 </v>
      </c>
      <c r="B372" s="54"/>
      <c r="C372" s="54"/>
      <c r="D372" s="54"/>
      <c r="E372" s="55"/>
      <c r="F372" s="30"/>
      <c r="G372" s="43"/>
      <c r="H372" s="3">
        <f>IF(ISNUMBER(FIND("Controle",E372)),LEFT(E372,FIND(" ",E372,10)-1),"")</f>
      </c>
      <c r="I372" s="3">
        <f>IF(LEFT(E372,8)="Controle",I371+1,I371)</f>
        <v>16</v>
      </c>
      <c r="J372" s="12">
        <f>IF(ISNUMBER(FIND("Controle",H372)),MATCH(H372,Controle!B:B,0),"")</f>
      </c>
      <c r="K372" s="7">
        <f>IF(B371="Leg",A372,K371)</f>
        <v>534</v>
      </c>
      <c r="L372" s="7">
        <f>E372</f>
        <v>0</v>
      </c>
    </row>
    <row r="373" spans="1:12" ht="16.5">
      <c r="A373" s="50" t="str">
        <f>INDEX(Controle!H:H,Cue!J371+1)&amp;" "</f>
        <v>103 Water Street, Pine Grove Mills, PA </v>
      </c>
      <c r="B373" s="51"/>
      <c r="C373" s="51"/>
      <c r="D373" s="51"/>
      <c r="E373" s="52"/>
      <c r="F373" s="30"/>
      <c r="G373" s="43"/>
      <c r="H373" s="3">
        <f>IF(ISNUMBER(FIND("Controle",E373)),LEFT(E373,FIND(" ",E373,10)-1),"")</f>
      </c>
      <c r="I373" s="3">
        <f>IF(LEFT(E373,8)="Controle",I372+1,I372)</f>
        <v>16</v>
      </c>
      <c r="J373" s="12">
        <f>IF(ISNUMBER(FIND("Controle",H373)),MATCH(H373,Controle!B:B,0),"")</f>
      </c>
      <c r="K373" s="7">
        <f>IF(B372="Leg",A373,K372)</f>
        <v>534</v>
      </c>
      <c r="L373" s="7">
        <f>E373</f>
        <v>0</v>
      </c>
    </row>
    <row r="374" spans="1:13" ht="17.25" thickBot="1">
      <c r="A374" s="47" t="str">
        <f>INDEX(Controle!H:H,Cue!J371+2)&amp;" "</f>
        <v>open: 08/09 10:16  close: 08/11 00:05 </v>
      </c>
      <c r="B374" s="48"/>
      <c r="C374" s="48"/>
      <c r="D374" s="48"/>
      <c r="E374" s="49"/>
      <c r="F374" s="31"/>
      <c r="G374" s="44"/>
      <c r="H374" s="3">
        <f>IF(ISNUMBER(FIND("Controle",E374)),LEFT(E374,FIND(" ",E374,10)-1),"")</f>
      </c>
      <c r="I374" s="3">
        <f>IF(LEFT(E374,8)="Controle",I373+1,I373)</f>
        <v>16</v>
      </c>
      <c r="J374" s="12">
        <f>IF(ISNUMBER(FIND("Controle",H374)),MATCH(H374,Controle!B:B,0),"")</f>
      </c>
      <c r="K374" s="7">
        <f>IF(B373="Leg",A374,K373)</f>
        <v>534</v>
      </c>
      <c r="L374" s="7">
        <f>E374</f>
        <v>0</v>
      </c>
      <c r="M374" s="8"/>
    </row>
    <row r="375" spans="1:13" ht="49.5">
      <c r="A375" s="9">
        <f>Compilation!E308</f>
        <v>571.8</v>
      </c>
      <c r="B375" s="9">
        <f t="shared" si="33"/>
        <v>0</v>
      </c>
      <c r="C375" s="9">
        <f>A375-A371</f>
        <v>0</v>
      </c>
      <c r="D375" s="10" t="str">
        <f>TRIM(Compilation!F308)</f>
        <v>Continue</v>
      </c>
      <c r="E375" s="11" t="str">
        <f>Compilation!I308</f>
        <v>Leave controle turning right on Rt 26 / E Pine Grove Rd (same direction)</v>
      </c>
      <c r="F375" s="32"/>
      <c r="G375" s="45">
        <f>Compilation!J308</f>
      </c>
      <c r="H375" s="3">
        <f t="shared" si="34"/>
      </c>
      <c r="I375" s="3">
        <f>IF(LEFT(E375,8)="Controle",I371+1,I371)</f>
        <v>16</v>
      </c>
      <c r="J375" s="12">
        <f>IF(ISNUMBER(FIND("Controle",H375)),MATCH(H375,Controle!B:B,0),"")</f>
      </c>
      <c r="K375" s="7">
        <f>IF(H371&lt;&gt;"",A375,K371)</f>
        <v>571.8</v>
      </c>
      <c r="L375" s="7" t="str">
        <f t="shared" si="35"/>
        <v>Leave controle turning right on Rt 26 / E Pine Grove Rd (same direction)</v>
      </c>
      <c r="M375" s="13"/>
    </row>
    <row r="376" spans="1:13" ht="33">
      <c r="A376" s="9">
        <f>Compilation!E309</f>
        <v>573.1</v>
      </c>
      <c r="B376" s="9">
        <f t="shared" si="33"/>
        <v>1.3000000000000682</v>
      </c>
      <c r="C376" s="9">
        <f t="shared" si="36"/>
        <v>1.3000000000000682</v>
      </c>
      <c r="D376" s="10" t="str">
        <f>TRIM(Compilation!F309)</f>
        <v>BR</v>
      </c>
      <c r="E376" s="11" t="str">
        <f>Compilation!I309</f>
        <v>Rt 45 / Shingletown Rd (leaving Rt 26 which splits left)</v>
      </c>
      <c r="F376" s="32"/>
      <c r="G376" s="45">
        <f>Compilation!J309</f>
      </c>
      <c r="H376" s="3">
        <f t="shared" si="34"/>
      </c>
      <c r="I376" s="3">
        <f t="shared" si="37"/>
        <v>16</v>
      </c>
      <c r="J376" s="12">
        <f>IF(ISNUMBER(FIND("Controle",H376)),MATCH(H376,Controle!B:B,0),"")</f>
      </c>
      <c r="K376" s="7">
        <f t="shared" si="38"/>
        <v>571.8</v>
      </c>
      <c r="L376" s="7" t="str">
        <f t="shared" si="35"/>
        <v>Rt 45 / Shingletown Rd (leaving Rt 26 which splits left)</v>
      </c>
      <c r="M376" s="13"/>
    </row>
    <row r="377" spans="1:13" ht="33">
      <c r="A377" s="9">
        <f>Compilation!E310</f>
        <v>576.6</v>
      </c>
      <c r="B377" s="9">
        <f t="shared" si="33"/>
        <v>4.800000000000068</v>
      </c>
      <c r="C377" s="9">
        <f t="shared" si="36"/>
        <v>3.5</v>
      </c>
      <c r="D377" s="10" t="str">
        <f>TRIM(Compilation!F310)</f>
        <v>***R</v>
      </c>
      <c r="E377" s="11" t="str">
        <f>Compilation!I310</f>
        <v>Main St (Look for "Historic Boalsburg Village")</v>
      </c>
      <c r="F377" s="32"/>
      <c r="G377" s="45">
        <f>Compilation!J310</f>
      </c>
      <c r="H377" s="3">
        <f t="shared" si="34"/>
      </c>
      <c r="I377" s="3">
        <f t="shared" si="37"/>
        <v>16</v>
      </c>
      <c r="J377" s="12">
        <f>IF(ISNUMBER(FIND("Controle",H377)),MATCH(H377,Controle!B:B,0),"")</f>
      </c>
      <c r="K377" s="7">
        <f t="shared" si="38"/>
        <v>571.8</v>
      </c>
      <c r="L377" s="7" t="str">
        <f t="shared" si="35"/>
        <v>Main St (Look for "Historic Boalsburg Village")</v>
      </c>
      <c r="M377" s="13"/>
    </row>
    <row r="378" spans="1:13" ht="33">
      <c r="A378" s="9">
        <f>Compilation!E311</f>
        <v>577.7</v>
      </c>
      <c r="B378" s="9">
        <f t="shared" si="33"/>
        <v>5.900000000000091</v>
      </c>
      <c r="C378" s="9">
        <f t="shared" si="36"/>
        <v>1.1000000000000227</v>
      </c>
      <c r="D378" s="10" t="str">
        <f>TRIM(Compilation!F311)</f>
        <v>Pass</v>
      </c>
      <c r="E378" s="11" t="str">
        <f>Compilation!I311</f>
        <v>Duffy's Tavern on left [Boalsburg] </v>
      </c>
      <c r="F378" s="32"/>
      <c r="G378" s="45" t="str">
        <f>Compilation!J311</f>
        <v>Pub</v>
      </c>
      <c r="H378" s="3">
        <f t="shared" si="34"/>
      </c>
      <c r="I378" s="3">
        <f t="shared" si="37"/>
        <v>16</v>
      </c>
      <c r="J378" s="12">
        <f>IF(ISNUMBER(FIND("Controle",H378)),MATCH(H378,Controle!B:B,0),"")</f>
      </c>
      <c r="K378" s="7">
        <f t="shared" si="38"/>
        <v>571.8</v>
      </c>
      <c r="L378" s="7" t="str">
        <f t="shared" si="35"/>
        <v>Duffy's Tavern on left [Boalsburg] </v>
      </c>
      <c r="M378" s="13"/>
    </row>
    <row r="379" spans="1:13" ht="33">
      <c r="A379" s="9">
        <f>Compilation!E312</f>
        <v>577.9</v>
      </c>
      <c r="B379" s="9">
        <f t="shared" si="33"/>
        <v>6.100000000000023</v>
      </c>
      <c r="C379" s="9">
        <f t="shared" si="36"/>
        <v>0.1999999999999318</v>
      </c>
      <c r="D379" s="10" t="str">
        <f>TRIM(Compilation!F312)</f>
        <v>X</v>
      </c>
      <c r="E379" s="11" t="str">
        <f>Compilation!I312</f>
        <v>(TFL) Rt 322 (joining Rt 45 / Earlystown Rd) </v>
      </c>
      <c r="F379" s="32"/>
      <c r="G379" s="45" t="str">
        <f>Compilation!J312</f>
        <v>MiniMart off-course 0.2 mi left</v>
      </c>
      <c r="H379" s="3">
        <f t="shared" si="34"/>
      </c>
      <c r="I379" s="3">
        <f t="shared" si="37"/>
        <v>16</v>
      </c>
      <c r="J379" s="12">
        <f>IF(ISNUMBER(FIND("Controle",H379)),MATCH(H379,Controle!B:B,0),"")</f>
      </c>
      <c r="K379" s="7">
        <f t="shared" si="38"/>
        <v>571.8</v>
      </c>
      <c r="L379" s="7" t="str">
        <f t="shared" si="35"/>
        <v>(TFL) Rt 322 (joining Rt 45 / Earlystown Rd) </v>
      </c>
      <c r="M379" s="13"/>
    </row>
    <row r="380" spans="1:13" ht="33">
      <c r="A380" s="9">
        <f>Compilation!E313</f>
        <v>579.7</v>
      </c>
      <c r="B380" s="9">
        <f t="shared" si="33"/>
        <v>7.900000000000091</v>
      </c>
      <c r="C380" s="9">
        <f t="shared" si="36"/>
        <v>1.8000000000000682</v>
      </c>
      <c r="D380" s="10" t="str">
        <f>TRIM(Compilation!F313)</f>
        <v>L</v>
      </c>
      <c r="E380" s="11" t="str">
        <f>Compilation!I313</f>
        <v>Linden Hall Rd / Rt 2006 (follow "Linden Hall")</v>
      </c>
      <c r="F380" s="32"/>
      <c r="G380" s="45">
        <f>Compilation!J313</f>
      </c>
      <c r="H380" s="3">
        <f t="shared" si="34"/>
      </c>
      <c r="I380" s="3">
        <f t="shared" si="37"/>
        <v>16</v>
      </c>
      <c r="J380" s="12">
        <f>IF(ISNUMBER(FIND("Controle",H380)),MATCH(H380,Controle!B:B,0),"")</f>
      </c>
      <c r="K380" s="7">
        <f t="shared" si="38"/>
        <v>571.8</v>
      </c>
      <c r="L380" s="7" t="str">
        <f t="shared" si="35"/>
        <v>Linden Hall Rd / Rt 2006 (follow "Linden Hall")</v>
      </c>
      <c r="M380" s="13"/>
    </row>
    <row r="381" spans="1:13" ht="33">
      <c r="A381" s="9">
        <f>Compilation!E314</f>
        <v>580.2</v>
      </c>
      <c r="B381" s="9">
        <f t="shared" si="33"/>
        <v>8.400000000000091</v>
      </c>
      <c r="C381" s="9">
        <f t="shared" si="36"/>
        <v>0.5</v>
      </c>
      <c r="D381" s="10" t="str">
        <f>TRIM(Compilation!F314)</f>
        <v>BR</v>
      </c>
      <c r="E381" s="11" t="str">
        <f>Compilation!I314</f>
        <v>(SS) FMR Rock Hill Rd / 2006 (Bike "G")</v>
      </c>
      <c r="F381" s="32"/>
      <c r="G381" s="45">
        <f>Compilation!J314</f>
      </c>
      <c r="H381" s="3">
        <f t="shared" si="34"/>
      </c>
      <c r="I381" s="3">
        <f t="shared" si="37"/>
        <v>16</v>
      </c>
      <c r="J381" s="12">
        <f>IF(ISNUMBER(FIND("Controle",H381)),MATCH(H381,Controle!B:B,0),"")</f>
      </c>
      <c r="K381" s="7">
        <f t="shared" si="38"/>
        <v>571.8</v>
      </c>
      <c r="L381" s="7" t="str">
        <f t="shared" si="35"/>
        <v>(SS) FMR Rock Hill Rd / 2006 (Bike "G")</v>
      </c>
      <c r="M381" s="13"/>
    </row>
    <row r="382" spans="1:13" ht="33">
      <c r="A382" s="9">
        <f>Compilation!E315</f>
        <v>580.6</v>
      </c>
      <c r="B382" s="9">
        <f t="shared" si="33"/>
        <v>8.800000000000068</v>
      </c>
      <c r="C382" s="9">
        <f t="shared" si="36"/>
        <v>0.39999999999997726</v>
      </c>
      <c r="D382" s="10" t="str">
        <f>TRIM(Compilation!F315)</f>
        <v>BR</v>
      </c>
      <c r="E382" s="11" t="str">
        <f>Compilation!I315</f>
        <v>(SS) Joining Brush Valley Rd / Rt 2006 b/c Rt 192</v>
      </c>
      <c r="F382" s="32"/>
      <c r="G382" s="45">
        <f>Compilation!J315</f>
      </c>
      <c r="H382" s="3">
        <f t="shared" si="34"/>
      </c>
      <c r="I382" s="3">
        <f t="shared" si="37"/>
        <v>16</v>
      </c>
      <c r="J382" s="12">
        <f>IF(ISNUMBER(FIND("Controle",H382)),MATCH(H382,Controle!B:B,0),"")</f>
      </c>
      <c r="K382" s="7">
        <f t="shared" si="38"/>
        <v>571.8</v>
      </c>
      <c r="L382" s="7" t="str">
        <f t="shared" si="35"/>
        <v>(SS) Joining Brush Valley Rd / Rt 2006 b/c Rt 192</v>
      </c>
      <c r="M382" s="13"/>
    </row>
    <row r="383" spans="1:13" ht="33">
      <c r="A383" s="9">
        <f>Compilation!E316</f>
        <v>585.9</v>
      </c>
      <c r="B383" s="9">
        <f t="shared" si="33"/>
        <v>14.100000000000023</v>
      </c>
      <c r="C383" s="9">
        <f>A383-A382</f>
        <v>5.2999999999999545</v>
      </c>
      <c r="D383" s="10" t="str">
        <f>TRIM(Compilation!F316)</f>
        <v>X</v>
      </c>
      <c r="E383" s="11" t="str">
        <f>Compilation!I316</f>
        <v>(TFL) Rt 144 (now on Church St / Rt 192) [Centre Hall] </v>
      </c>
      <c r="F383" s="32"/>
      <c r="G383" s="45" t="str">
        <f>Compilation!J316</f>
        <v>Restaurant Stores</v>
      </c>
      <c r="H383" s="3">
        <f t="shared" si="34"/>
      </c>
      <c r="I383" s="3">
        <f>IF(LEFT(E383,8)="Controle",I382+1,I382)</f>
        <v>16</v>
      </c>
      <c r="J383" s="12">
        <f>IF(ISNUMBER(FIND("Controle",H383)),MATCH(H383,Controle!B:B,0),"")</f>
      </c>
      <c r="K383" s="7">
        <f>IF(H382&lt;&gt;"",A383,K382)</f>
        <v>571.8</v>
      </c>
      <c r="L383" s="7" t="str">
        <f t="shared" si="35"/>
        <v>(TFL) Rt 144 (now on Church St / Rt 192) [Centre Hall] </v>
      </c>
      <c r="M383" s="13"/>
    </row>
    <row r="384" spans="1:13" ht="50.25" thickBot="1">
      <c r="A384" s="9">
        <f>Compilation!E317</f>
        <v>600.5</v>
      </c>
      <c r="B384" s="9">
        <f t="shared" si="33"/>
        <v>28.700000000000045</v>
      </c>
      <c r="C384" s="9">
        <f t="shared" si="36"/>
        <v>14.600000000000023</v>
      </c>
      <c r="D384" s="10" t="str">
        <f>TRIM(Compilation!F317)</f>
        <v>STOP</v>
      </c>
      <c r="E384" s="11" t="str">
        <f>Compilation!I317</f>
        <v>Controle Rebersburg Monument on left Jct Main St / Walnut St  (Answer info question)</v>
      </c>
      <c r="F384" s="32"/>
      <c r="G384" s="45" t="str">
        <f>Compilation!J317</f>
        <v>Store</v>
      </c>
      <c r="H384" s="3" t="str">
        <f t="shared" si="34"/>
        <v>Controle 17</v>
      </c>
      <c r="I384" s="3">
        <f t="shared" si="37"/>
        <v>17</v>
      </c>
      <c r="J384" s="12">
        <f>IF(ISNUMBER(FIND("Controle",H384)),MATCH(H384,Controle!B:B,0),"")</f>
        <v>51</v>
      </c>
      <c r="K384" s="7">
        <f t="shared" si="38"/>
        <v>571.8</v>
      </c>
      <c r="L384" s="7" t="str">
        <f t="shared" si="35"/>
        <v>Controle Rebersburg Monument on left Jct Main St / Walnut St  (Answer info question)</v>
      </c>
      <c r="M384" s="13"/>
    </row>
    <row r="385" spans="1:12" ht="16.5">
      <c r="A385" s="53" t="str">
        <f>INDEX(Controle!H:H,Cue!J384)&amp;" "</f>
        <v>Controle 17 Rebersburg Monument </v>
      </c>
      <c r="B385" s="54"/>
      <c r="C385" s="54"/>
      <c r="D385" s="54"/>
      <c r="E385" s="55"/>
      <c r="F385" s="30"/>
      <c r="G385" s="43"/>
      <c r="H385" s="3">
        <f>IF(ISNUMBER(FIND("Controle",E385)),LEFT(E385,FIND(" ",E385,10)-1),"")</f>
      </c>
      <c r="I385" s="3">
        <f>IF(LEFT(E385,8)="Controle",I384+1,I384)</f>
        <v>17</v>
      </c>
      <c r="J385" s="12">
        <f>IF(ISNUMBER(FIND("Controle",H385)),MATCH(H385,Controle!B:B,0),"")</f>
      </c>
      <c r="K385" s="7">
        <f>IF(B384="Leg",A385,K384)</f>
        <v>571.8</v>
      </c>
      <c r="L385" s="7">
        <f>E385</f>
        <v>0</v>
      </c>
    </row>
    <row r="386" spans="1:12" ht="16.5">
      <c r="A386" s="50" t="str">
        <f>INDEX(Controle!H:H,Cue!J384+1)&amp;" "</f>
        <v>Jct Rt 192 and Walnut St, Rebersburg, PA </v>
      </c>
      <c r="B386" s="51"/>
      <c r="C386" s="51"/>
      <c r="D386" s="51"/>
      <c r="E386" s="52"/>
      <c r="F386" s="30"/>
      <c r="G386" s="43"/>
      <c r="H386" s="3">
        <f>IF(ISNUMBER(FIND("Controle",E386)),LEFT(E386,FIND(" ",E386,10)-1),"")</f>
      </c>
      <c r="I386" s="3">
        <f>IF(LEFT(E386,8)="Controle",I385+1,I385)</f>
        <v>17</v>
      </c>
      <c r="J386" s="12">
        <f>IF(ISNUMBER(FIND("Controle",H386)),MATCH(H386,Controle!B:B,0),"")</f>
      </c>
      <c r="K386" s="7">
        <f>IF(B385="Leg",A386,K385)</f>
        <v>571.8</v>
      </c>
      <c r="L386" s="7">
        <f>E386</f>
        <v>0</v>
      </c>
    </row>
    <row r="387" spans="1:13" ht="17.25" thickBot="1">
      <c r="A387" s="47" t="str">
        <f>INDEX(Controle!H:H,Cue!J384+2)&amp;" "</f>
        <v>close: Not Timed (on pace:  08/11 04:02) </v>
      </c>
      <c r="B387" s="48"/>
      <c r="C387" s="48"/>
      <c r="D387" s="48"/>
      <c r="E387" s="49"/>
      <c r="F387" s="31"/>
      <c r="G387" s="44"/>
      <c r="H387" s="3">
        <f>IF(ISNUMBER(FIND("Controle",E387)),LEFT(E387,FIND(" ",E387,10)-1),"")</f>
      </c>
      <c r="I387" s="3">
        <f>IF(LEFT(E387,8)="Controle",I386+1,I386)</f>
        <v>17</v>
      </c>
      <c r="J387" s="12">
        <f>IF(ISNUMBER(FIND("Controle",H387)),MATCH(H387,Controle!B:B,0),"")</f>
      </c>
      <c r="K387" s="7">
        <f>IF(B386="Leg",A387,K386)</f>
        <v>571.8</v>
      </c>
      <c r="L387" s="7">
        <f>E387</f>
        <v>0</v>
      </c>
      <c r="M387" s="8"/>
    </row>
    <row r="388" spans="1:13" ht="33">
      <c r="A388" s="9">
        <f>Compilation!E318</f>
        <v>600.5</v>
      </c>
      <c r="B388" s="9">
        <f t="shared" si="33"/>
        <v>0</v>
      </c>
      <c r="C388" s="9">
        <f>A388-A384</f>
        <v>0</v>
      </c>
      <c r="D388" s="10" t="str">
        <f>TRIM(Compilation!F318)</f>
        <v>Continue</v>
      </c>
      <c r="E388" s="11" t="str">
        <f>Compilation!I318</f>
        <v>Leave controle turning left on Rt 192 (same direction)</v>
      </c>
      <c r="F388" s="32"/>
      <c r="G388" s="45">
        <f>Compilation!J318</f>
      </c>
      <c r="H388" s="3">
        <f t="shared" si="34"/>
      </c>
      <c r="I388" s="3">
        <f>IF(LEFT(E388,8)="Controle",I384+1,I384)</f>
        <v>17</v>
      </c>
      <c r="J388" s="12">
        <f>IF(ISNUMBER(FIND("Controle",H388)),MATCH(H388,Controle!B:B,0),"")</f>
      </c>
      <c r="K388" s="7">
        <f>IF(H384&lt;&gt;"",A388,K384)</f>
        <v>600.5</v>
      </c>
      <c r="L388" s="7" t="str">
        <f t="shared" si="35"/>
        <v>Leave controle turning left on Rt 192 (same direction)</v>
      </c>
      <c r="M388" s="13"/>
    </row>
    <row r="389" spans="1:13" ht="33">
      <c r="A389" s="9">
        <f>Compilation!E319</f>
        <v>631.6</v>
      </c>
      <c r="B389" s="9">
        <f t="shared" si="33"/>
        <v>31.100000000000023</v>
      </c>
      <c r="C389" s="9">
        <f t="shared" si="36"/>
        <v>31.100000000000023</v>
      </c>
      <c r="D389" s="10" t="str">
        <f>TRIM(Compilation!F319)</f>
        <v>X</v>
      </c>
      <c r="E389" s="11" t="str">
        <f>Compilation!I319</f>
        <v>(TFL) Rt 15 (now on Buffalo Rd) [Lewisburg]</v>
      </c>
      <c r="F389" s="32"/>
      <c r="G389" s="45">
        <f>Compilation!J319</f>
      </c>
      <c r="H389" s="3">
        <f t="shared" si="34"/>
      </c>
      <c r="I389" s="3">
        <f t="shared" si="37"/>
        <v>17</v>
      </c>
      <c r="J389" s="12">
        <f>IF(ISNUMBER(FIND("Controle",H389)),MATCH(H389,Controle!B:B,0),"")</f>
      </c>
      <c r="K389" s="7">
        <f t="shared" si="38"/>
        <v>600.5</v>
      </c>
      <c r="L389" s="7" t="str">
        <f t="shared" si="35"/>
        <v>(TFL) Rt 15 (now on Buffalo Rd) [Lewisburg]</v>
      </c>
      <c r="M389" s="13"/>
    </row>
    <row r="390" spans="1:13" ht="33">
      <c r="A390" s="9">
        <f>Compilation!E320</f>
        <v>631.8</v>
      </c>
      <c r="B390" s="9">
        <f t="shared" si="33"/>
        <v>31.299999999999955</v>
      </c>
      <c r="C390" s="9">
        <f t="shared" si="36"/>
        <v>0.1999999999999318</v>
      </c>
      <c r="D390" s="10" t="str">
        <f>TRIM(Compilation!F320)</f>
        <v>BL</v>
      </c>
      <c r="E390" s="11" t="str">
        <f>Compilation!I320</f>
        <v>(SS) St Anthony St (NOT hard left onto 4th)</v>
      </c>
      <c r="F390" s="32"/>
      <c r="G390" s="45">
        <f>Compilation!J320</f>
      </c>
      <c r="H390" s="3">
        <f t="shared" si="34"/>
      </c>
      <c r="I390" s="3">
        <f t="shared" si="37"/>
        <v>17</v>
      </c>
      <c r="J390" s="12">
        <f>IF(ISNUMBER(FIND("Controle",H390)),MATCH(H390,Controle!B:B,0),"")</f>
      </c>
      <c r="K390" s="7">
        <f t="shared" si="38"/>
        <v>600.5</v>
      </c>
      <c r="L390" s="7" t="str">
        <f t="shared" si="35"/>
        <v>(SS) St Anthony St (NOT hard left onto 4th)</v>
      </c>
      <c r="M390" s="13"/>
    </row>
    <row r="391" spans="1:13" ht="33">
      <c r="A391" s="9">
        <f>Compilation!E321</f>
        <v>631.9</v>
      </c>
      <c r="B391" s="9">
        <f t="shared" si="33"/>
        <v>31.399999999999977</v>
      </c>
      <c r="C391" s="9">
        <f t="shared" si="36"/>
        <v>0.10000000000002274</v>
      </c>
      <c r="D391" s="10" t="str">
        <f>TRIM(Compilation!F321)</f>
        <v>X</v>
      </c>
      <c r="E391" s="11" t="str">
        <f>Compilation!I321</f>
        <v>(SS) 3rd St TRO St Anthony b/c River Rd ahead at bend</v>
      </c>
      <c r="F391" s="32"/>
      <c r="G391" s="45">
        <f>Compilation!J321</f>
      </c>
      <c r="H391" s="3">
        <f t="shared" si="34"/>
      </c>
      <c r="I391" s="3">
        <f t="shared" si="37"/>
        <v>17</v>
      </c>
      <c r="J391" s="12">
        <f>IF(ISNUMBER(FIND("Controle",H391)),MATCH(H391,Controle!B:B,0),"")</f>
      </c>
      <c r="K391" s="7">
        <f t="shared" si="38"/>
        <v>600.5</v>
      </c>
      <c r="L391" s="7" t="str">
        <f t="shared" si="35"/>
        <v>(SS) 3rd St TRO St Anthony b/c River Rd ahead at bend</v>
      </c>
      <c r="M391" s="13"/>
    </row>
    <row r="392" spans="1:13" ht="16.5">
      <c r="A392" s="9">
        <f>Compilation!E322</f>
        <v>632.9</v>
      </c>
      <c r="B392" s="9">
        <f t="shared" si="33"/>
        <v>32.39999999999998</v>
      </c>
      <c r="C392" s="9">
        <f t="shared" si="36"/>
        <v>1</v>
      </c>
      <c r="D392" s="10" t="str">
        <f>TRIM(Compilation!F322)</f>
        <v>X</v>
      </c>
      <c r="E392" s="11" t="str">
        <f>Compilation!I322</f>
        <v>(TFL) Rt 15 now on Hospital Dr</v>
      </c>
      <c r="F392" s="32"/>
      <c r="G392" s="45">
        <f>Compilation!J322</f>
      </c>
      <c r="H392" s="3">
        <f t="shared" si="34"/>
      </c>
      <c r="I392" s="3">
        <f t="shared" si="37"/>
        <v>17</v>
      </c>
      <c r="J392" s="12">
        <f>IF(ISNUMBER(FIND("Controle",H392)),MATCH(H392,Controle!B:B,0),"")</f>
      </c>
      <c r="K392" s="7">
        <f t="shared" si="38"/>
        <v>600.5</v>
      </c>
      <c r="L392" s="7" t="str">
        <f t="shared" si="35"/>
        <v>(TFL) Rt 15 now on Hospital Dr</v>
      </c>
      <c r="M392" s="13"/>
    </row>
    <row r="393" spans="1:13" ht="16.5">
      <c r="A393" s="9">
        <f>Compilation!E323</f>
        <v>633.1</v>
      </c>
      <c r="B393" s="9">
        <f t="shared" si="33"/>
        <v>32.60000000000002</v>
      </c>
      <c r="C393" s="9">
        <f>A393-A392</f>
        <v>0.20000000000004547</v>
      </c>
      <c r="D393" s="10" t="str">
        <f>TRIM(Compilation!F323)</f>
        <v>1st R</v>
      </c>
      <c r="E393" s="11" t="str">
        <f>Compilation!I323</f>
        <v>Walter Dr</v>
      </c>
      <c r="F393" s="32"/>
      <c r="G393" s="45">
        <f>Compilation!J323</f>
      </c>
      <c r="H393" s="3">
        <f t="shared" si="34"/>
      </c>
      <c r="I393" s="3">
        <f>IF(LEFT(E393,8)="Controle",I392+1,I392)</f>
        <v>17</v>
      </c>
      <c r="J393" s="12">
        <f>IF(ISNUMBER(FIND("Controle",H393)),MATCH(H393,Controle!B:B,0),"")</f>
      </c>
      <c r="K393" s="7">
        <f>IF(H392&lt;&gt;"",A393,K392)</f>
        <v>600.5</v>
      </c>
      <c r="L393" s="7" t="str">
        <f t="shared" si="35"/>
        <v>Walter Dr</v>
      </c>
      <c r="M393" s="13"/>
    </row>
    <row r="394" spans="1:13" ht="33.75" thickBot="1">
      <c r="A394" s="9">
        <f>Compilation!E324</f>
        <v>633.2</v>
      </c>
      <c r="B394" s="9">
        <f t="shared" si="33"/>
        <v>32.700000000000045</v>
      </c>
      <c r="C394" s="9">
        <f>A394-A393</f>
        <v>0.10000000000002274</v>
      </c>
      <c r="D394" s="10" t="str">
        <f>TRIM(Compilation!F324)</f>
        <v>STOP</v>
      </c>
      <c r="E394" s="11" t="str">
        <f>Compilation!I324</f>
        <v>Controle Lewisburg Country Inn &amp; Suites on left</v>
      </c>
      <c r="F394" s="32"/>
      <c r="G394" s="45">
        <f>Compilation!J324</f>
      </c>
      <c r="H394" s="3" t="str">
        <f t="shared" si="34"/>
        <v>Controle 18</v>
      </c>
      <c r="I394" s="3">
        <f>IF(LEFT(E394,8)="Controle",I393+1,I393)</f>
        <v>18</v>
      </c>
      <c r="J394" s="12">
        <f>IF(ISNUMBER(FIND("Controle",H394)),MATCH(H394,Controle!B:B,0),"")</f>
        <v>54</v>
      </c>
      <c r="K394" s="7">
        <f>IF(H393&lt;&gt;"",A394,K393)</f>
        <v>600.5</v>
      </c>
      <c r="L394" s="7" t="str">
        <f t="shared" si="35"/>
        <v>Controle Lewisburg Country Inn &amp; Suites on left</v>
      </c>
      <c r="M394" s="13"/>
    </row>
    <row r="395" spans="1:12" ht="16.5">
      <c r="A395" s="53" t="str">
        <f>INDEX(Controle!H:H,Cue!J394)&amp;" "</f>
        <v>Controle 18 Country Inn &amp; Suites (570) 524-6600 </v>
      </c>
      <c r="B395" s="54"/>
      <c r="C395" s="54"/>
      <c r="D395" s="54"/>
      <c r="E395" s="55"/>
      <c r="F395" s="30"/>
      <c r="G395" s="43"/>
      <c r="H395" s="3">
        <f>IF(ISNUMBER(FIND("Controle",E395)),LEFT(E395,FIND(" ",E395,10)-1),"")</f>
      </c>
      <c r="I395" s="3">
        <f>IF(LEFT(E395,8)="Controle",I394+1,I394)</f>
        <v>18</v>
      </c>
      <c r="J395" s="12">
        <f>IF(ISNUMBER(FIND("Controle",H395)),MATCH(H395,Controle!B:B,0),"")</f>
      </c>
      <c r="K395" s="7">
        <f>IF(B394="Leg",A395,K394)</f>
        <v>600.5</v>
      </c>
      <c r="L395" s="7">
        <f>E395</f>
        <v>0</v>
      </c>
    </row>
    <row r="396" spans="1:12" ht="16.5">
      <c r="A396" s="50" t="str">
        <f>INDEX(Controle!H:H,Cue!J394+1)&amp;" "</f>
        <v>134 Walter Dr, Lewisburg, PA </v>
      </c>
      <c r="B396" s="51"/>
      <c r="C396" s="51"/>
      <c r="D396" s="51"/>
      <c r="E396" s="52"/>
      <c r="F396" s="30"/>
      <c r="G396" s="43"/>
      <c r="H396" s="3">
        <f>IF(ISNUMBER(FIND("Controle",E396)),LEFT(E396,FIND(" ",E396,10)-1),"")</f>
      </c>
      <c r="I396" s="3">
        <f>IF(LEFT(E396,8)="Controle",I395+1,I395)</f>
        <v>18</v>
      </c>
      <c r="J396" s="12">
        <f>IF(ISNUMBER(FIND("Controle",H396)),MATCH(H396,Controle!B:B,0),"")</f>
      </c>
      <c r="K396" s="7">
        <f>IF(B395="Leg",A396,K395)</f>
        <v>600.5</v>
      </c>
      <c r="L396" s="7">
        <f>E396</f>
        <v>0</v>
      </c>
    </row>
    <row r="397" spans="1:13" ht="17.25" thickBot="1">
      <c r="A397" s="47" t="str">
        <f>INDEX(Controle!H:H,Cue!J394+2)&amp;" "</f>
        <v>open: 08/09 13:49  close: 08/11 08:26 </v>
      </c>
      <c r="B397" s="48"/>
      <c r="C397" s="48"/>
      <c r="D397" s="48"/>
      <c r="E397" s="49"/>
      <c r="F397" s="31"/>
      <c r="G397" s="44"/>
      <c r="H397" s="3">
        <f>IF(ISNUMBER(FIND("Controle",E397)),LEFT(E397,FIND(" ",E397,10)-1),"")</f>
      </c>
      <c r="I397" s="3">
        <f>IF(LEFT(E397,8)="Controle",I396+1,I396)</f>
        <v>18</v>
      </c>
      <c r="J397" s="12">
        <f>IF(ISNUMBER(FIND("Controle",H397)),MATCH(H397,Controle!B:B,0),"")</f>
      </c>
      <c r="K397" s="7">
        <f>IF(B396="Leg",A397,K396)</f>
        <v>600.5</v>
      </c>
      <c r="L397" s="7">
        <f>E397</f>
        <v>0</v>
      </c>
      <c r="M397" s="8"/>
    </row>
    <row r="398" spans="1:13" ht="42.75">
      <c r="A398" s="9">
        <f>Compilation!E325</f>
        <v>633.3</v>
      </c>
      <c r="B398" s="9">
        <f t="shared" si="33"/>
        <v>0</v>
      </c>
      <c r="C398" s="9">
        <f>A398-A394</f>
        <v>0.09999999999990905</v>
      </c>
      <c r="D398" s="10" t="str">
        <f>TRIM(Compilation!F325)</f>
        <v>Backtrack</v>
      </c>
      <c r="E398" s="11" t="str">
        <f>Compilation!I325</f>
        <v>Leave hotel parking lot turning right on Walter Dr </v>
      </c>
      <c r="F398" s="32"/>
      <c r="G398" s="45" t="str">
        <f>Compilation!J325</f>
        <v>next controle is untimed info question</v>
      </c>
      <c r="H398" s="3">
        <f t="shared" si="34"/>
      </c>
      <c r="I398" s="3">
        <f>IF(LEFT(E398,8)="Controle",I394+1,I394)</f>
        <v>18</v>
      </c>
      <c r="J398" s="12">
        <f>IF(ISNUMBER(FIND("Controle",H398)),MATCH(H398,Controle!B:B,0),"")</f>
      </c>
      <c r="K398" s="7">
        <f>IF(H394&lt;&gt;"",A398,K394)</f>
        <v>633.3</v>
      </c>
      <c r="L398" s="7" t="str">
        <f t="shared" si="35"/>
        <v>Leave hotel parking lot turning right on Walter Dr </v>
      </c>
      <c r="M398" s="13"/>
    </row>
    <row r="399" spans="1:13" ht="16.5">
      <c r="A399" s="9">
        <f>Compilation!E326</f>
        <v>633.4</v>
      </c>
      <c r="B399" s="9">
        <f t="shared" si="33"/>
        <v>0.10000000000002274</v>
      </c>
      <c r="C399" s="9">
        <f t="shared" si="36"/>
        <v>0.10000000000002274</v>
      </c>
      <c r="D399" s="10" t="str">
        <f>TRIM(Compilation!F326)</f>
        <v>1st L</v>
      </c>
      <c r="E399" s="11" t="str">
        <f>Compilation!I326</f>
        <v>(unmarked) Hospital Dr (SS)</v>
      </c>
      <c r="F399" s="32"/>
      <c r="G399" s="45">
        <f>Compilation!J326</f>
      </c>
      <c r="H399" s="3">
        <f t="shared" si="34"/>
      </c>
      <c r="I399" s="3">
        <f t="shared" si="37"/>
        <v>18</v>
      </c>
      <c r="J399" s="12">
        <f>IF(ISNUMBER(FIND("Controle",H399)),MATCH(H399,Controle!B:B,0),"")</f>
      </c>
      <c r="K399" s="7">
        <f t="shared" si="38"/>
        <v>633.3</v>
      </c>
      <c r="L399" s="7" t="str">
        <f t="shared" si="35"/>
        <v>(unmarked) Hospital Dr (SS)</v>
      </c>
      <c r="M399" s="13"/>
    </row>
    <row r="400" spans="1:13" ht="16.5">
      <c r="A400" s="9">
        <f>Compilation!E327</f>
        <v>633.6</v>
      </c>
      <c r="B400" s="9">
        <f t="shared" si="33"/>
        <v>0.3000000000000682</v>
      </c>
      <c r="C400" s="9">
        <f t="shared" si="36"/>
        <v>0.20000000000004547</v>
      </c>
      <c r="D400" s="10" t="str">
        <f>TRIM(Compilation!F327)</f>
        <v>X</v>
      </c>
      <c r="E400" s="11" t="str">
        <f>Compilation!I327</f>
        <v>(TFL) Rt 15 now on River Rd</v>
      </c>
      <c r="F400" s="32"/>
      <c r="G400" s="45">
        <f>Compilation!J327</f>
      </c>
      <c r="H400" s="3">
        <f t="shared" si="34"/>
      </c>
      <c r="I400" s="3">
        <f t="shared" si="37"/>
        <v>18</v>
      </c>
      <c r="J400" s="12">
        <f>IF(ISNUMBER(FIND("Controle",H400)),MATCH(H400,Controle!B:B,0),"")</f>
      </c>
      <c r="K400" s="7">
        <f t="shared" si="38"/>
        <v>633.3</v>
      </c>
      <c r="L400" s="7" t="str">
        <f t="shared" si="35"/>
        <v>(TFL) Rt 15 now on River Rd</v>
      </c>
      <c r="M400" s="13"/>
    </row>
    <row r="401" spans="1:13" ht="16.5">
      <c r="A401" s="9">
        <f>Compilation!E328</f>
        <v>634.4</v>
      </c>
      <c r="B401" s="9">
        <f t="shared" si="33"/>
        <v>1.1000000000000227</v>
      </c>
      <c r="C401" s="9">
        <f t="shared" si="36"/>
        <v>0.7999999999999545</v>
      </c>
      <c r="D401" s="10" t="str">
        <f>TRIM(Compilation!F328)</f>
        <v>1st L</v>
      </c>
      <c r="E401" s="11" t="str">
        <f>Compilation!I328</f>
        <v>N Water St</v>
      </c>
      <c r="F401" s="32"/>
      <c r="G401" s="45">
        <f>Compilation!J328</f>
      </c>
      <c r="H401" s="3">
        <f t="shared" si="34"/>
      </c>
      <c r="I401" s="3">
        <f t="shared" si="37"/>
        <v>18</v>
      </c>
      <c r="J401" s="12">
        <f>IF(ISNUMBER(FIND("Controle",H401)),MATCH(H401,Controle!B:B,0),"")</f>
      </c>
      <c r="K401" s="7">
        <f t="shared" si="38"/>
        <v>633.3</v>
      </c>
      <c r="L401" s="7" t="str">
        <f t="shared" si="35"/>
        <v>N Water St</v>
      </c>
      <c r="M401" s="13"/>
    </row>
    <row r="402" spans="1:13" ht="16.5">
      <c r="A402" s="9">
        <f>Compilation!E329</f>
        <v>634.7</v>
      </c>
      <c r="B402" s="9">
        <f t="shared" si="33"/>
        <v>1.400000000000091</v>
      </c>
      <c r="C402" s="9">
        <f t="shared" si="36"/>
        <v>0.3000000000000682</v>
      </c>
      <c r="D402" s="10" t="str">
        <f>TRIM(Compilation!F329)</f>
        <v>L</v>
      </c>
      <c r="E402" s="11" t="str">
        <f>Compilation!I329</f>
        <v>Market St / Rt 45</v>
      </c>
      <c r="F402" s="32"/>
      <c r="G402" s="45">
        <f>Compilation!J329</f>
      </c>
      <c r="H402" s="3">
        <f t="shared" si="34"/>
      </c>
      <c r="I402" s="3">
        <f t="shared" si="37"/>
        <v>18</v>
      </c>
      <c r="J402" s="12">
        <f>IF(ISNUMBER(FIND("Controle",H402)),MATCH(H402,Controle!B:B,0),"")</f>
      </c>
      <c r="K402" s="7">
        <f t="shared" si="38"/>
        <v>633.3</v>
      </c>
      <c r="L402" s="7" t="str">
        <f t="shared" si="35"/>
        <v>Market St / Rt 45</v>
      </c>
      <c r="M402" s="13"/>
    </row>
    <row r="403" spans="1:13" ht="16.5">
      <c r="A403" s="9">
        <f>Compilation!E330</f>
        <v>634.7</v>
      </c>
      <c r="B403" s="9">
        <f t="shared" si="33"/>
        <v>1.400000000000091</v>
      </c>
      <c r="C403" s="9">
        <f t="shared" si="36"/>
        <v>0</v>
      </c>
      <c r="D403" s="10" t="str">
        <f>TRIM(Compilation!F330)</f>
        <v>X</v>
      </c>
      <c r="E403" s="11" t="str">
        <f>Compilation!I330</f>
        <v>Susquehanna River bridge</v>
      </c>
      <c r="F403" s="32"/>
      <c r="G403" s="45">
        <f>Compilation!J330</f>
      </c>
      <c r="H403" s="3">
        <f t="shared" si="34"/>
      </c>
      <c r="I403" s="3">
        <f t="shared" si="37"/>
        <v>18</v>
      </c>
      <c r="J403" s="12">
        <f>IF(ISNUMBER(FIND("Controle",H403)),MATCH(H403,Controle!B:B,0),"")</f>
      </c>
      <c r="K403" s="7">
        <f t="shared" si="38"/>
        <v>633.3</v>
      </c>
      <c r="L403" s="7" t="str">
        <f t="shared" si="35"/>
        <v>Susquehanna River bridge</v>
      </c>
      <c r="M403" s="13"/>
    </row>
    <row r="404" spans="1:13" ht="16.5">
      <c r="A404" s="9">
        <f>Compilation!E331</f>
        <v>636.3</v>
      </c>
      <c r="B404" s="9">
        <f t="shared" si="33"/>
        <v>3</v>
      </c>
      <c r="C404" s="9">
        <f t="shared" si="36"/>
        <v>1.599999999999909</v>
      </c>
      <c r="D404" s="10" t="str">
        <f>TRIM(Compilation!F331)</f>
        <v>R</v>
      </c>
      <c r="E404" s="11" t="str">
        <f>Compilation!I331</f>
        <v>(TFL) Housels Run Rd </v>
      </c>
      <c r="F404" s="32"/>
      <c r="G404" s="45" t="str">
        <f>Compilation!J331</f>
        <v>MiniMart</v>
      </c>
      <c r="H404" s="3">
        <f t="shared" si="34"/>
      </c>
      <c r="I404" s="3">
        <f t="shared" si="37"/>
        <v>18</v>
      </c>
      <c r="J404" s="12">
        <f>IF(ISNUMBER(FIND("Controle",H404)),MATCH(H404,Controle!B:B,0),"")</f>
      </c>
      <c r="K404" s="7">
        <f t="shared" si="38"/>
        <v>633.3</v>
      </c>
      <c r="L404" s="7" t="str">
        <f t="shared" si="35"/>
        <v>(TFL) Housels Run Rd </v>
      </c>
      <c r="M404" s="13"/>
    </row>
    <row r="405" spans="1:13" ht="16.5">
      <c r="A405" s="9">
        <f>Compilation!E332</f>
        <v>638.1</v>
      </c>
      <c r="B405" s="9">
        <f t="shared" si="33"/>
        <v>4.800000000000068</v>
      </c>
      <c r="C405" s="9">
        <f t="shared" si="36"/>
        <v>1.8000000000000682</v>
      </c>
      <c r="D405" s="10" t="str">
        <f>TRIM(Compilation!F332)</f>
        <v>TL</v>
      </c>
      <c r="E405" s="11" t="str">
        <f>Compilation!I332</f>
        <v>Rt 405</v>
      </c>
      <c r="F405" s="32"/>
      <c r="G405" s="45">
        <f>Compilation!J332</f>
      </c>
      <c r="H405" s="3">
        <f t="shared" si="34"/>
      </c>
      <c r="I405" s="3">
        <f t="shared" si="37"/>
        <v>18</v>
      </c>
      <c r="J405" s="12">
        <f>IF(ISNUMBER(FIND("Controle",H405)),MATCH(H405,Controle!B:B,0),"")</f>
      </c>
      <c r="K405" s="7">
        <f t="shared" si="38"/>
        <v>633.3</v>
      </c>
      <c r="L405" s="7" t="str">
        <f t="shared" si="35"/>
        <v>Rt 405</v>
      </c>
      <c r="M405" s="13"/>
    </row>
    <row r="406" spans="1:13" ht="16.5">
      <c r="A406" s="9">
        <f>Compilation!E333</f>
        <v>638.4</v>
      </c>
      <c r="B406" s="9">
        <f t="shared" si="33"/>
        <v>5.100000000000023</v>
      </c>
      <c r="C406" s="9">
        <f t="shared" si="36"/>
        <v>0.2999999999999545</v>
      </c>
      <c r="D406" s="10" t="str">
        <f>TRIM(Compilation!F333)</f>
        <v>T R</v>
      </c>
      <c r="E406" s="11" t="str">
        <f>Compilation!I333</f>
        <v>Rt 147 South</v>
      </c>
      <c r="F406" s="32"/>
      <c r="G406" s="45">
        <f>Compilation!J333</f>
      </c>
      <c r="H406" s="3">
        <f t="shared" si="34"/>
      </c>
      <c r="I406" s="3">
        <f t="shared" si="37"/>
        <v>18</v>
      </c>
      <c r="J406" s="12">
        <f>IF(ISNUMBER(FIND("Controle",H406)),MATCH(H406,Controle!B:B,0),"")</f>
      </c>
      <c r="K406" s="7">
        <f t="shared" si="38"/>
        <v>633.3</v>
      </c>
      <c r="L406" s="7" t="str">
        <f t="shared" si="35"/>
        <v>Rt 147 South</v>
      </c>
      <c r="M406" s="13"/>
    </row>
    <row r="407" spans="1:13" ht="33">
      <c r="A407" s="9">
        <f>Compilation!E334</f>
        <v>643.2</v>
      </c>
      <c r="B407" s="9">
        <f t="shared" si="33"/>
        <v>9.900000000000091</v>
      </c>
      <c r="C407" s="9">
        <f t="shared" si="36"/>
        <v>4.800000000000068</v>
      </c>
      <c r="D407" s="10" t="str">
        <f>TRIM(Compilation!F334)</f>
        <v>T L</v>
      </c>
      <c r="E407" s="11" t="str">
        <f>Compilation!I334</f>
        <v>(TFL) TRO Rt 147 [Northumberland] </v>
      </c>
      <c r="F407" s="32"/>
      <c r="G407" s="45" t="str">
        <f>Compilation!J334</f>
        <v>MiniMart Restaurant</v>
      </c>
      <c r="H407" s="3">
        <f t="shared" si="34"/>
      </c>
      <c r="I407" s="3">
        <f t="shared" si="37"/>
        <v>18</v>
      </c>
      <c r="J407" s="12">
        <f>IF(ISNUMBER(FIND("Controle",H407)),MATCH(H407,Controle!B:B,0),"")</f>
      </c>
      <c r="K407" s="7">
        <f t="shared" si="38"/>
        <v>633.3</v>
      </c>
      <c r="L407" s="7" t="str">
        <f t="shared" si="35"/>
        <v>(TFL) TRO Rt 147 [Northumberland] </v>
      </c>
      <c r="M407" s="13"/>
    </row>
    <row r="408" spans="1:13" ht="16.5">
      <c r="A408" s="9">
        <f>Compilation!E335</f>
        <v>643.4</v>
      </c>
      <c r="B408" s="9">
        <f t="shared" si="33"/>
        <v>10.100000000000023</v>
      </c>
      <c r="C408" s="9">
        <f t="shared" si="36"/>
        <v>0.1999999999999318</v>
      </c>
      <c r="D408" s="10" t="str">
        <f>TRIM(Compilation!F335)</f>
        <v>R</v>
      </c>
      <c r="E408" s="11" t="str">
        <f>Compilation!I335</f>
        <v>(TFL) TRO Rt 147 / King St</v>
      </c>
      <c r="F408" s="32"/>
      <c r="G408" s="45">
        <f>Compilation!J335</f>
      </c>
      <c r="H408" s="3">
        <f t="shared" si="34"/>
      </c>
      <c r="I408" s="3">
        <f t="shared" si="37"/>
        <v>18</v>
      </c>
      <c r="J408" s="12">
        <f>IF(ISNUMBER(FIND("Controle",H408)),MATCH(H408,Controle!B:B,0),"")</f>
      </c>
      <c r="K408" s="7">
        <f t="shared" si="38"/>
        <v>633.3</v>
      </c>
      <c r="L408" s="7" t="str">
        <f t="shared" si="35"/>
        <v>(TFL) TRO Rt 147 / King St</v>
      </c>
      <c r="M408" s="13"/>
    </row>
    <row r="409" spans="1:13" ht="16.5">
      <c r="A409" s="9">
        <f>Compilation!E336</f>
        <v>644.2</v>
      </c>
      <c r="B409" s="9">
        <f t="shared" si="33"/>
        <v>10.900000000000091</v>
      </c>
      <c r="C409" s="9">
        <f>A409-A408</f>
        <v>0.8000000000000682</v>
      </c>
      <c r="D409" s="10" t="str">
        <f>TRIM(Compilation!F336)</f>
        <v>B R</v>
      </c>
      <c r="E409" s="11" t="str">
        <f>Compilation!I336</f>
        <v>TRO Rt 147 (just after bridges) </v>
      </c>
      <c r="F409" s="32"/>
      <c r="G409" s="45" t="str">
        <f>Compilation!J336</f>
        <v>MiniMart</v>
      </c>
      <c r="H409" s="3">
        <f t="shared" si="34"/>
      </c>
      <c r="I409" s="3">
        <f aca="true" t="shared" si="39" ref="I409:I414">IF(LEFT(E409,8)="Controle",I408+1,I408)</f>
        <v>18</v>
      </c>
      <c r="J409" s="12">
        <f>IF(ISNUMBER(FIND("Controle",H409)),MATCH(H409,Controle!B:B,0),"")</f>
      </c>
      <c r="K409" s="7">
        <f>IF(H408&lt;&gt;"",A409,K408)</f>
        <v>633.3</v>
      </c>
      <c r="L409" s="7" t="str">
        <f t="shared" si="35"/>
        <v>TRO Rt 147 (just after bridges) </v>
      </c>
      <c r="M409" s="13"/>
    </row>
    <row r="410" spans="1:13" ht="16.5">
      <c r="A410" s="9">
        <f>Compilation!E337</f>
        <v>646.6</v>
      </c>
      <c r="B410" s="9">
        <f t="shared" si="33"/>
        <v>13.300000000000068</v>
      </c>
      <c r="C410" s="9">
        <f>A410-A409</f>
        <v>2.3999999999999773</v>
      </c>
      <c r="D410" s="10" t="str">
        <f>TRIM(Compilation!F337)</f>
        <v>T R</v>
      </c>
      <c r="E410" s="11" t="str">
        <f>Compilation!I337</f>
        <v>TRO Rt 147 [Sunbury]</v>
      </c>
      <c r="F410" s="32"/>
      <c r="G410" s="45">
        <f>Compilation!J337</f>
      </c>
      <c r="H410" s="3">
        <f t="shared" si="34"/>
      </c>
      <c r="I410" s="3">
        <f t="shared" si="39"/>
        <v>18</v>
      </c>
      <c r="J410" s="12">
        <f>IF(ISNUMBER(FIND("Controle",H410)),MATCH(H410,Controle!B:B,0),"")</f>
      </c>
      <c r="K410" s="7">
        <f>IF(H409&lt;&gt;"",A410,K409)</f>
        <v>633.3</v>
      </c>
      <c r="L410" s="7" t="str">
        <f t="shared" si="35"/>
        <v>TRO Rt 147 [Sunbury]</v>
      </c>
      <c r="M410" s="13"/>
    </row>
    <row r="411" spans="1:13" ht="50.25" thickBot="1">
      <c r="A411" s="9">
        <f>Compilation!E338</f>
        <v>660.2</v>
      </c>
      <c r="B411" s="9">
        <f t="shared" si="33"/>
        <v>26.90000000000009</v>
      </c>
      <c r="C411" s="9">
        <f>A411-A410</f>
        <v>13.600000000000023</v>
      </c>
      <c r="D411" s="10" t="str">
        <f>TRIM(Compilation!F338)</f>
        <v>STOP</v>
      </c>
      <c r="E411" s="11" t="str">
        <f>Compilation!I338</f>
        <v>Controle Sunoco A-Plus Mart on left Jct Rt 147 / 225 (Answer info question on card) </v>
      </c>
      <c r="F411" s="32"/>
      <c r="G411" s="45" t="str">
        <f>Compilation!J338</f>
        <v>MiniMart</v>
      </c>
      <c r="H411" s="3" t="str">
        <f t="shared" si="34"/>
        <v>Controle 19</v>
      </c>
      <c r="I411" s="3">
        <f t="shared" si="39"/>
        <v>19</v>
      </c>
      <c r="J411" s="12">
        <f>IF(ISNUMBER(FIND("Controle",H411)),MATCH(H411,Controle!B:B,0),"")</f>
        <v>57</v>
      </c>
      <c r="K411" s="7">
        <f>IF(H410&lt;&gt;"",A411,K410)</f>
        <v>633.3</v>
      </c>
      <c r="L411" s="7" t="str">
        <f t="shared" si="35"/>
        <v>Controle Sunoco A-Plus Mart on left Jct Rt 147 / 225 (Answer info question on card) </v>
      </c>
      <c r="M411" s="13"/>
    </row>
    <row r="412" spans="1:12" ht="16.5">
      <c r="A412" s="53" t="str">
        <f>INDEX(Controle!H:H,Cue!J411)&amp;" "</f>
        <v>Controle 19 Sunoco A-Plus (570) 758-9107 </v>
      </c>
      <c r="B412" s="54"/>
      <c r="C412" s="54"/>
      <c r="D412" s="54"/>
      <c r="E412" s="55"/>
      <c r="F412" s="30"/>
      <c r="G412" s="43"/>
      <c r="H412" s="3">
        <f>IF(ISNUMBER(FIND("Controle",E412)),LEFT(E412,FIND(" ",E412,10)-1),"")</f>
      </c>
      <c r="I412" s="3">
        <f t="shared" si="39"/>
        <v>19</v>
      </c>
      <c r="J412" s="12">
        <f>IF(ISNUMBER(FIND("Controle",H412)),MATCH(H412,Controle!B:B,0),"")</f>
      </c>
      <c r="K412" s="7">
        <f>IF(B411="Leg",A412,K411)</f>
        <v>633.3</v>
      </c>
      <c r="L412" s="7">
        <f>E412</f>
        <v>0</v>
      </c>
    </row>
    <row r="413" spans="1:12" ht="16.5">
      <c r="A413" s="50" t="str">
        <f>INDEX(Controle!H:H,Cue!J411+1)&amp;" "</f>
        <v>Rts 147 and 225, Herndon, PA </v>
      </c>
      <c r="B413" s="51"/>
      <c r="C413" s="51"/>
      <c r="D413" s="51"/>
      <c r="E413" s="52"/>
      <c r="F413" s="30"/>
      <c r="G413" s="43"/>
      <c r="H413" s="3">
        <f>IF(ISNUMBER(FIND("Controle",E413)),LEFT(E413,FIND(" ",E413,10)-1),"")</f>
      </c>
      <c r="I413" s="3">
        <f t="shared" si="39"/>
        <v>19</v>
      </c>
      <c r="J413" s="12">
        <f>IF(ISNUMBER(FIND("Controle",H413)),MATCH(H413,Controle!B:B,0),"")</f>
      </c>
      <c r="K413" s="7">
        <f>IF(B412="Leg",A413,K412)</f>
        <v>633.3</v>
      </c>
      <c r="L413" s="7">
        <f>E413</f>
        <v>0</v>
      </c>
    </row>
    <row r="414" spans="1:13" ht="17.25" thickBot="1">
      <c r="A414" s="47" t="str">
        <f>INDEX(Controle!H:H,Cue!J411+2)&amp;" "</f>
        <v>close: Not Timed (on pace:  08/11 11:35) </v>
      </c>
      <c r="B414" s="48"/>
      <c r="C414" s="48"/>
      <c r="D414" s="48"/>
      <c r="E414" s="49"/>
      <c r="F414" s="31"/>
      <c r="G414" s="44"/>
      <c r="H414" s="3">
        <f>IF(ISNUMBER(FIND("Controle",E414)),LEFT(E414,FIND(" ",E414,10)-1),"")</f>
      </c>
      <c r="I414" s="3">
        <f t="shared" si="39"/>
        <v>19</v>
      </c>
      <c r="J414" s="12">
        <f>IF(ISNUMBER(FIND("Controle",H414)),MATCH(H414,Controle!B:B,0),"")</f>
      </c>
      <c r="K414" s="7">
        <f>IF(B413="Leg",A414,K413)</f>
        <v>633.3</v>
      </c>
      <c r="L414" s="7">
        <f>E414</f>
        <v>0</v>
      </c>
      <c r="M414" s="8"/>
    </row>
    <row r="415" spans="1:13" ht="33">
      <c r="A415" s="9">
        <f>Compilation!E339</f>
        <v>660.3</v>
      </c>
      <c r="B415" s="9">
        <f t="shared" si="33"/>
        <v>0</v>
      </c>
      <c r="C415" s="9">
        <f>A415-A411</f>
        <v>0.09999999999990905</v>
      </c>
      <c r="D415" s="10" t="str">
        <f>TRIM(Compilation!F339)</f>
        <v>Continue</v>
      </c>
      <c r="E415" s="11" t="str">
        <f>Compilation!I339</f>
        <v>Leave driveway turning left on Rt 225 North (same direction)</v>
      </c>
      <c r="F415" s="32"/>
      <c r="G415" s="45">
        <f>Compilation!J339</f>
      </c>
      <c r="H415" s="3">
        <f t="shared" si="34"/>
      </c>
      <c r="I415" s="3">
        <f>IF(LEFT(E415,8)="Controle",I411+1,I411)</f>
        <v>19</v>
      </c>
      <c r="J415" s="12">
        <f>IF(ISNUMBER(FIND("Controle",H415)),MATCH(H415,Controle!B:B,0),"")</f>
      </c>
      <c r="K415" s="7">
        <f>IF(H411&lt;&gt;"",A415,K411)</f>
        <v>660.3</v>
      </c>
      <c r="L415" s="7" t="str">
        <f t="shared" si="35"/>
        <v>Leave driveway turning left on Rt 225 North (same direction)</v>
      </c>
      <c r="M415" s="13"/>
    </row>
    <row r="416" spans="1:13" ht="16.5">
      <c r="A416" s="9">
        <f>Compilation!E340</f>
        <v>660.4</v>
      </c>
      <c r="B416" s="9">
        <f t="shared" si="33"/>
        <v>0.10000000000002274</v>
      </c>
      <c r="C416" s="9">
        <f t="shared" si="36"/>
        <v>0.10000000000002274</v>
      </c>
      <c r="D416" s="10" t="str">
        <f>TRIM(Compilation!F340)</f>
        <v>B L</v>
      </c>
      <c r="E416" s="11" t="str">
        <f>Compilation!I340</f>
        <v>(SS) TRO Rt 225 North</v>
      </c>
      <c r="F416" s="32"/>
      <c r="G416" s="45">
        <f>Compilation!J340</f>
      </c>
      <c r="H416" s="3">
        <f t="shared" si="34"/>
      </c>
      <c r="I416" s="3">
        <f t="shared" si="37"/>
        <v>19</v>
      </c>
      <c r="J416" s="12">
        <f>IF(ISNUMBER(FIND("Controle",H416)),MATCH(H416,Controle!B:B,0),"")</f>
      </c>
      <c r="K416" s="7">
        <f t="shared" si="38"/>
        <v>660.3</v>
      </c>
      <c r="L416" s="7" t="str">
        <f t="shared" si="35"/>
        <v>(SS) TRO Rt 225 North</v>
      </c>
      <c r="M416" s="13"/>
    </row>
    <row r="417" spans="1:13" ht="33">
      <c r="A417" s="9">
        <f>Compilation!E341</f>
        <v>662.6</v>
      </c>
      <c r="B417" s="9">
        <f t="shared" si="33"/>
        <v>2.300000000000068</v>
      </c>
      <c r="C417" s="9">
        <f t="shared" si="36"/>
        <v>2.2000000000000455</v>
      </c>
      <c r="D417" s="10" t="str">
        <f>TRIM(Compilation!F341)</f>
        <v>R</v>
      </c>
      <c r="E417" s="11" t="str">
        <f>Compilation!I341</f>
        <v>Rt 3003 /  Hooflander Rd.."Urban 2".."Citgo" </v>
      </c>
      <c r="F417" s="32"/>
      <c r="G417" s="45" t="str">
        <f>Compilation!J341</f>
        <v>MiniMart Limited services ahead</v>
      </c>
      <c r="H417" s="3">
        <f t="shared" si="34"/>
      </c>
      <c r="I417" s="3">
        <f t="shared" si="37"/>
        <v>19</v>
      </c>
      <c r="J417" s="12">
        <f>IF(ISNUMBER(FIND("Controle",H417)),MATCH(H417,Controle!B:B,0),"")</f>
      </c>
      <c r="K417" s="7">
        <f t="shared" si="38"/>
        <v>660.3</v>
      </c>
      <c r="L417" s="7" t="str">
        <f t="shared" si="35"/>
        <v>Rt 3003 /  Hooflander Rd.."Urban 2".."Citgo" </v>
      </c>
      <c r="M417" s="13"/>
    </row>
    <row r="418" spans="1:13" ht="66">
      <c r="A418" s="9">
        <f>Compilation!E342</f>
        <v>663.9</v>
      </c>
      <c r="B418" s="9">
        <f t="shared" si="33"/>
        <v>3.6000000000000227</v>
      </c>
      <c r="C418" s="9">
        <f t="shared" si="36"/>
        <v>1.2999999999999545</v>
      </c>
      <c r="D418" s="10" t="str">
        <f>TRIM(Compilation!F342)</f>
        <v>B L</v>
      </c>
      <c r="E418" s="11" t="str">
        <f>Compilation!I342</f>
        <v>FMR TRO (unmarked) Rt 3003..follow double yellow lines...Jct Urban School House Rd</v>
      </c>
      <c r="F418" s="32"/>
      <c r="G418" s="45">
        <f>Compilation!J342</f>
      </c>
      <c r="H418" s="3">
        <f t="shared" si="34"/>
      </c>
      <c r="I418" s="3">
        <f t="shared" si="37"/>
        <v>19</v>
      </c>
      <c r="J418" s="12">
        <f>IF(ISNUMBER(FIND("Controle",H418)),MATCH(H418,Controle!B:B,0),"")</f>
      </c>
      <c r="K418" s="7">
        <f t="shared" si="38"/>
        <v>660.3</v>
      </c>
      <c r="L418" s="7" t="str">
        <f t="shared" si="35"/>
        <v>FMR TRO (unmarked) Rt 3003..follow double yellow lines...Jct Urban School House Rd</v>
      </c>
      <c r="M418" s="13"/>
    </row>
    <row r="419" spans="1:13" ht="49.5">
      <c r="A419" s="9">
        <f>Compilation!E343</f>
        <v>664.1</v>
      </c>
      <c r="B419" s="9">
        <f t="shared" si="33"/>
        <v>3.800000000000068</v>
      </c>
      <c r="C419" s="9">
        <f t="shared" si="36"/>
        <v>0.20000000000004547</v>
      </c>
      <c r="D419" s="10" t="str">
        <f>TRIM(Compilation!F343)</f>
        <v>Straight</v>
      </c>
      <c r="E419" s="11" t="str">
        <f>Compilation!I343</f>
        <v>Joining Rt 3016 (which also goes right here).."Klingerstown 6"</v>
      </c>
      <c r="F419" s="32"/>
      <c r="G419" s="45">
        <f>Compilation!J343</f>
      </c>
      <c r="H419" s="3">
        <f t="shared" si="34"/>
      </c>
      <c r="I419" s="3">
        <f t="shared" si="37"/>
        <v>19</v>
      </c>
      <c r="J419" s="12">
        <f>IF(ISNUMBER(FIND("Controle",H419)),MATCH(H419,Controle!B:B,0),"")</f>
      </c>
      <c r="K419" s="7">
        <f t="shared" si="38"/>
        <v>660.3</v>
      </c>
      <c r="L419" s="7" t="str">
        <f t="shared" si="35"/>
        <v>Joining Rt 3016 (which also goes right here).."Klingerstown 6"</v>
      </c>
      <c r="M419" s="13"/>
    </row>
    <row r="420" spans="1:13" ht="16.5">
      <c r="A420" s="9">
        <f>Compilation!E344</f>
        <v>668.8</v>
      </c>
      <c r="B420" s="9">
        <f t="shared" si="33"/>
        <v>8.5</v>
      </c>
      <c r="C420" s="9">
        <f t="shared" si="36"/>
        <v>4.699999999999932</v>
      </c>
      <c r="D420" s="10" t="str">
        <f>TRIM(Compilation!F344)</f>
        <v>T L</v>
      </c>
      <c r="E420" s="11" t="str">
        <f>Compilation!I344</f>
        <v>Rt 3018</v>
      </c>
      <c r="F420" s="32"/>
      <c r="G420" s="45">
        <f>Compilation!J344</f>
      </c>
      <c r="H420" s="3">
        <f t="shared" si="34"/>
      </c>
      <c r="I420" s="3">
        <f t="shared" si="37"/>
        <v>19</v>
      </c>
      <c r="J420" s="12">
        <f>IF(ISNUMBER(FIND("Controle",H420)),MATCH(H420,Controle!B:B,0),"")</f>
      </c>
      <c r="K420" s="7">
        <f t="shared" si="38"/>
        <v>660.3</v>
      </c>
      <c r="L420" s="7" t="str">
        <f t="shared" si="35"/>
        <v>Rt 3018</v>
      </c>
      <c r="M420" s="13"/>
    </row>
    <row r="421" spans="1:13" ht="33">
      <c r="A421" s="9">
        <f>Compilation!E345</f>
        <v>670.6</v>
      </c>
      <c r="B421" s="9">
        <f t="shared" si="33"/>
        <v>10.300000000000068</v>
      </c>
      <c r="C421" s="9">
        <f t="shared" si="36"/>
        <v>1.8000000000000682</v>
      </c>
      <c r="D421" s="10" t="str">
        <f>TRIM(Compilation!F345)</f>
        <v>L</v>
      </c>
      <c r="E421" s="11" t="str">
        <f>Compilation!I345</f>
        <v>(SS) Fearnot Rd / Rt 1024 [Erdman]</v>
      </c>
      <c r="F421" s="32"/>
      <c r="G421" s="45">
        <f>Compilation!J345</f>
      </c>
      <c r="H421" s="3">
        <f t="shared" si="34"/>
      </c>
      <c r="I421" s="3">
        <f t="shared" si="37"/>
        <v>19</v>
      </c>
      <c r="J421" s="12">
        <f>IF(ISNUMBER(FIND("Controle",H421)),MATCH(H421,Controle!B:B,0),"")</f>
      </c>
      <c r="K421" s="7">
        <f t="shared" si="38"/>
        <v>660.3</v>
      </c>
      <c r="L421" s="7" t="str">
        <f t="shared" si="35"/>
        <v>(SS) Fearnot Rd / Rt 1024 [Erdman]</v>
      </c>
      <c r="M421" s="13"/>
    </row>
    <row r="422" spans="1:13" ht="16.5">
      <c r="A422" s="9">
        <f>Compilation!E346</f>
        <v>675.9</v>
      </c>
      <c r="B422" s="9">
        <f t="shared" si="33"/>
        <v>15.600000000000023</v>
      </c>
      <c r="C422" s="9">
        <f t="shared" si="36"/>
        <v>5.2999999999999545</v>
      </c>
      <c r="D422" s="10" t="str">
        <f>TRIM(Compilation!F346)</f>
        <v>T L</v>
      </c>
      <c r="E422" s="11" t="str">
        <f>Compilation!I346</f>
        <v>Rt 25</v>
      </c>
      <c r="F422" s="32"/>
      <c r="G422" s="45">
        <f>Compilation!J346</f>
      </c>
      <c r="H422" s="3">
        <f t="shared" si="34"/>
      </c>
      <c r="I422" s="3">
        <f t="shared" si="37"/>
        <v>19</v>
      </c>
      <c r="J422" s="12">
        <f>IF(ISNUMBER(FIND("Controle",H422)),MATCH(H422,Controle!B:B,0),"")</f>
      </c>
      <c r="K422" s="7">
        <f t="shared" si="38"/>
        <v>660.3</v>
      </c>
      <c r="L422" s="7" t="str">
        <f t="shared" si="35"/>
        <v>Rt 25</v>
      </c>
      <c r="M422" s="13"/>
    </row>
    <row r="423" spans="1:13" ht="49.5">
      <c r="A423" s="9">
        <f>Compilation!E347</f>
        <v>676.6</v>
      </c>
      <c r="B423" s="9">
        <f t="shared" si="33"/>
        <v>16.300000000000068</v>
      </c>
      <c r="C423" s="9">
        <f t="shared" si="36"/>
        <v>0.7000000000000455</v>
      </c>
      <c r="D423" s="10" t="str">
        <f>TRIM(Compilation!F347)</f>
        <v>*** BR</v>
      </c>
      <c r="E423" s="11" t="str">
        <f>Compilation!I347</f>
        <v>Rt 4013 / Schwenks Rd..just past "Traci's Place" (closed on Sunday)</v>
      </c>
      <c r="F423" s="32"/>
      <c r="G423" s="45">
        <f>Compilation!J347</f>
      </c>
      <c r="H423" s="3">
        <f t="shared" si="34"/>
      </c>
      <c r="I423" s="3">
        <f t="shared" si="37"/>
        <v>19</v>
      </c>
      <c r="J423" s="12">
        <f>IF(ISNUMBER(FIND("Controle",H423)),MATCH(H423,Controle!B:B,0),"")</f>
      </c>
      <c r="K423" s="7">
        <f t="shared" si="38"/>
        <v>660.3</v>
      </c>
      <c r="L423" s="7" t="str">
        <f t="shared" si="35"/>
        <v>Rt 4013 / Schwenks Rd..just past "Traci's Place" (closed on Sunday)</v>
      </c>
      <c r="M423" s="13"/>
    </row>
    <row r="424" spans="1:13" ht="16.5">
      <c r="A424" s="9">
        <f>Compilation!E348</f>
        <v>678.4</v>
      </c>
      <c r="B424" s="9">
        <f t="shared" si="33"/>
        <v>18.100000000000023</v>
      </c>
      <c r="C424" s="9">
        <f t="shared" si="36"/>
        <v>1.7999999999999545</v>
      </c>
      <c r="D424" s="10" t="str">
        <f>TRIM(Compilation!F348)</f>
        <v>T R</v>
      </c>
      <c r="E424" s="11" t="str">
        <f>Compilation!I348</f>
        <v>Gap St / Rt 4011</v>
      </c>
      <c r="F424" s="32"/>
      <c r="G424" s="45">
        <f>Compilation!J348</f>
      </c>
      <c r="H424" s="3">
        <f t="shared" si="34"/>
      </c>
      <c r="I424" s="3">
        <f t="shared" si="37"/>
        <v>19</v>
      </c>
      <c r="J424" s="12">
        <f>IF(ISNUMBER(FIND("Controle",H424)),MATCH(H424,Controle!B:B,0),"")</f>
      </c>
      <c r="K424" s="7">
        <f t="shared" si="38"/>
        <v>660.3</v>
      </c>
      <c r="L424" s="7" t="str">
        <f t="shared" si="35"/>
        <v>Gap St / Rt 4011</v>
      </c>
      <c r="M424" s="13"/>
    </row>
    <row r="425" spans="1:13" ht="16.5">
      <c r="A425" s="9">
        <f>Compilation!E349</f>
        <v>681.8</v>
      </c>
      <c r="B425" s="9">
        <f t="shared" si="33"/>
        <v>21.5</v>
      </c>
      <c r="C425" s="9">
        <f t="shared" si="36"/>
        <v>3.3999999999999773</v>
      </c>
      <c r="D425" s="10" t="str">
        <f>TRIM(Compilation!F349)</f>
        <v>X</v>
      </c>
      <c r="E425" s="11" t="str">
        <f>Compilation!I349</f>
        <v>RR Tracks (Caution)</v>
      </c>
      <c r="F425" s="32"/>
      <c r="G425" s="45">
        <f>Compilation!J349</f>
      </c>
      <c r="H425" s="3">
        <f t="shared" si="34"/>
      </c>
      <c r="I425" s="3">
        <f t="shared" si="37"/>
        <v>19</v>
      </c>
      <c r="J425" s="12">
        <f>IF(ISNUMBER(FIND("Controle",H425)),MATCH(H425,Controle!B:B,0),"")</f>
      </c>
      <c r="K425" s="7">
        <f t="shared" si="38"/>
        <v>660.3</v>
      </c>
      <c r="L425" s="7" t="str">
        <f t="shared" si="35"/>
        <v>RR Tracks (Caution)</v>
      </c>
      <c r="M425" s="13"/>
    </row>
    <row r="426" spans="1:13" ht="33">
      <c r="A426" s="9">
        <f>Compilation!E350</f>
        <v>682.5</v>
      </c>
      <c r="B426" s="9">
        <f t="shared" si="33"/>
        <v>22.200000000000045</v>
      </c>
      <c r="C426" s="9">
        <f t="shared" si="36"/>
        <v>0.7000000000000455</v>
      </c>
      <c r="D426" s="10" t="str">
        <f>TRIM(Compilation!F350)</f>
        <v>R</v>
      </c>
      <c r="E426" s="11" t="str">
        <f>Compilation!I350</f>
        <v>(SS) Main St (Rt 125 goes straight) [Good Springs]</v>
      </c>
      <c r="F426" s="32"/>
      <c r="G426" s="45">
        <f>Compilation!J350</f>
      </c>
      <c r="H426" s="3">
        <f t="shared" si="34"/>
      </c>
      <c r="I426" s="3">
        <f t="shared" si="37"/>
        <v>19</v>
      </c>
      <c r="J426" s="12">
        <f>IF(ISNUMBER(FIND("Controle",H426)),MATCH(H426,Controle!B:B,0),"")</f>
      </c>
      <c r="K426" s="7">
        <f t="shared" si="38"/>
        <v>660.3</v>
      </c>
      <c r="L426" s="7" t="str">
        <f t="shared" si="35"/>
        <v>(SS) Main St (Rt 125 goes straight) [Good Springs]</v>
      </c>
      <c r="M426" s="13"/>
    </row>
    <row r="427" spans="1:13" ht="33">
      <c r="A427" s="9">
        <f>Compilation!E351</f>
        <v>682.6</v>
      </c>
      <c r="B427" s="9">
        <f t="shared" si="33"/>
        <v>22.300000000000068</v>
      </c>
      <c r="C427" s="9">
        <f t="shared" si="36"/>
        <v>0.10000000000002274</v>
      </c>
      <c r="D427" s="10" t="str">
        <f>TRIM(Compilation!F351)</f>
        <v>X</v>
      </c>
      <c r="E427" s="11" t="str">
        <f>Compilation!I351</f>
        <v>RR Tracks (Caution: Bad angle - WALK BIKE)</v>
      </c>
      <c r="F427" s="32"/>
      <c r="G427" s="45">
        <f>Compilation!J351</f>
      </c>
      <c r="H427" s="3">
        <f t="shared" si="34"/>
      </c>
      <c r="I427" s="3">
        <f t="shared" si="37"/>
        <v>19</v>
      </c>
      <c r="J427" s="12">
        <f>IF(ISNUMBER(FIND("Controle",H427)),MATCH(H427,Controle!B:B,0),"")</f>
      </c>
      <c r="K427" s="7">
        <f t="shared" si="38"/>
        <v>660.3</v>
      </c>
      <c r="L427" s="7" t="str">
        <f t="shared" si="35"/>
        <v>RR Tracks (Caution: Bad angle - WALK BIKE)</v>
      </c>
      <c r="M427" s="13"/>
    </row>
    <row r="428" spans="1:13" ht="16.5">
      <c r="A428" s="9">
        <f>Compilation!E352</f>
        <v>684.7</v>
      </c>
      <c r="B428" s="9">
        <f t="shared" si="33"/>
        <v>24.40000000000009</v>
      </c>
      <c r="C428" s="9">
        <f t="shared" si="36"/>
        <v>2.1000000000000227</v>
      </c>
      <c r="D428" s="10" t="str">
        <f>TRIM(Compilation!F352)</f>
        <v>X</v>
      </c>
      <c r="E428" s="11" t="str">
        <f>Compilation!I352</f>
        <v>(SS) Rt 209</v>
      </c>
      <c r="F428" s="32"/>
      <c r="G428" s="45">
        <f>Compilation!J352</f>
      </c>
      <c r="H428" s="3">
        <f t="shared" si="34"/>
      </c>
      <c r="I428" s="3">
        <f t="shared" si="37"/>
        <v>19</v>
      </c>
      <c r="J428" s="12">
        <f>IF(ISNUMBER(FIND("Controle",H428)),MATCH(H428,Controle!B:B,0),"")</f>
      </c>
      <c r="K428" s="7">
        <f t="shared" si="38"/>
        <v>660.3</v>
      </c>
      <c r="L428" s="7" t="str">
        <f t="shared" si="35"/>
        <v>(SS) Rt 209</v>
      </c>
      <c r="M428" s="13"/>
    </row>
    <row r="429" spans="1:13" ht="33">
      <c r="A429" s="9">
        <f>Compilation!E353</f>
        <v>684.8</v>
      </c>
      <c r="B429" s="9">
        <f t="shared" si="33"/>
        <v>24.5</v>
      </c>
      <c r="C429" s="9">
        <f t="shared" si="36"/>
        <v>0.09999999999990905</v>
      </c>
      <c r="D429" s="10" t="str">
        <f>TRIM(Compilation!F353)</f>
        <v>Q BR</v>
      </c>
      <c r="E429" s="11" t="str">
        <f>Compilation!I353</f>
        <v>TRO Main St (b/c Molleystown Rd)</v>
      </c>
      <c r="F429" s="32"/>
      <c r="G429" s="45">
        <f>Compilation!J353</f>
      </c>
      <c r="H429" s="3">
        <f t="shared" si="34"/>
      </c>
      <c r="I429" s="3">
        <f t="shared" si="37"/>
        <v>19</v>
      </c>
      <c r="J429" s="12">
        <f>IF(ISNUMBER(FIND("Controle",H429)),MATCH(H429,Controle!B:B,0),"")</f>
      </c>
      <c r="K429" s="7">
        <f t="shared" si="38"/>
        <v>660.3</v>
      </c>
      <c r="L429" s="7" t="str">
        <f t="shared" si="35"/>
        <v>TRO Main St (b/c Molleystown Rd)</v>
      </c>
      <c r="M429" s="13"/>
    </row>
    <row r="430" spans="1:13" ht="49.5">
      <c r="A430" s="9">
        <f>Compilation!E354</f>
        <v>685.4</v>
      </c>
      <c r="B430" s="9">
        <f t="shared" si="33"/>
        <v>25.100000000000023</v>
      </c>
      <c r="C430" s="9">
        <f t="shared" si="36"/>
        <v>0.6000000000000227</v>
      </c>
      <c r="D430" s="10" t="str">
        <f>TRIM(Compilation!F354)</f>
        <v>X / Caution</v>
      </c>
      <c r="E430" s="11" t="str">
        <f>Compilation!I354</f>
        <v>'Top of Climb'..steep descents..stay on Molleystown Rd..FMR to bottom</v>
      </c>
      <c r="F430" s="32"/>
      <c r="G430" s="45">
        <f>Compilation!J354</f>
      </c>
      <c r="H430" s="3">
        <f t="shared" si="34"/>
      </c>
      <c r="I430" s="3">
        <f t="shared" si="37"/>
        <v>19</v>
      </c>
      <c r="J430" s="12">
        <f>IF(ISNUMBER(FIND("Controle",H430)),MATCH(H430,Controle!B:B,0),"")</f>
      </c>
      <c r="K430" s="7">
        <f t="shared" si="38"/>
        <v>660.3</v>
      </c>
      <c r="L430" s="7" t="str">
        <f t="shared" si="35"/>
        <v>'Top of Climb'..steep descents..stay on Molleystown Rd..FMR to bottom</v>
      </c>
      <c r="M430" s="13"/>
    </row>
    <row r="431" spans="1:13" ht="28.5">
      <c r="A431" s="9">
        <f>Compilation!E355</f>
        <v>688.9</v>
      </c>
      <c r="B431" s="9">
        <f aca="true" t="shared" si="40" ref="B431:B500">A431-K431</f>
        <v>28.600000000000023</v>
      </c>
      <c r="C431" s="9">
        <f aca="true" t="shared" si="41" ref="C431:C500">A431-A430</f>
        <v>3.5</v>
      </c>
      <c r="D431" s="10" t="str">
        <f>TRIM(Compilation!F355)</f>
        <v>T R</v>
      </c>
      <c r="E431" s="11" t="str">
        <f>Compilation!I355</f>
        <v>Rt 125 </v>
      </c>
      <c r="F431" s="32"/>
      <c r="G431" s="45" t="str">
        <f>Compilation!J355</f>
        <v>MiniMart just before turn</v>
      </c>
      <c r="H431" s="3">
        <f aca="true" t="shared" si="42" ref="H431:H500">IF(ISNUMBER(FIND("Controle",E431)),"Controle "&amp;I431,"")</f>
      </c>
      <c r="I431" s="3">
        <f aca="true" t="shared" si="43" ref="I431:I500">IF(LEFT(E431,8)="Controle",I430+1,I430)</f>
        <v>19</v>
      </c>
      <c r="J431" s="12">
        <f>IF(ISNUMBER(FIND("Controle",H431)),MATCH(H431,Controle!B:B,0),"")</f>
      </c>
      <c r="K431" s="7">
        <f aca="true" t="shared" si="44" ref="K431:K500">IF(H430&lt;&gt;"",A431,K430)</f>
        <v>660.3</v>
      </c>
      <c r="L431" s="7" t="str">
        <f aca="true" t="shared" si="45" ref="L431:L500">E431</f>
        <v>Rt 125 </v>
      </c>
      <c r="M431" s="13"/>
    </row>
    <row r="432" spans="1:13" ht="28.5">
      <c r="A432" s="9">
        <f>Compilation!E356</f>
        <v>691.9</v>
      </c>
      <c r="B432" s="9">
        <f t="shared" si="40"/>
        <v>31.600000000000023</v>
      </c>
      <c r="C432" s="9">
        <f t="shared" si="41"/>
        <v>3</v>
      </c>
      <c r="D432" s="10" t="str">
        <f>TRIM(Compilation!F356)</f>
        <v>Straight</v>
      </c>
      <c r="E432" s="11" t="str">
        <f>Compilation!I356</f>
        <v>Joining Rt 443 [Pine Grove] </v>
      </c>
      <c r="F432" s="32"/>
      <c r="G432" s="45" t="str">
        <f>Compilation!J356</f>
        <v>MiniMart Restaurant</v>
      </c>
      <c r="H432" s="3">
        <f t="shared" si="42"/>
      </c>
      <c r="I432" s="3">
        <f t="shared" si="43"/>
        <v>19</v>
      </c>
      <c r="J432" s="12">
        <f>IF(ISNUMBER(FIND("Controle",H432)),MATCH(H432,Controle!B:B,0),"")</f>
      </c>
      <c r="K432" s="7">
        <f t="shared" si="44"/>
        <v>660.3</v>
      </c>
      <c r="L432" s="7" t="str">
        <f t="shared" si="45"/>
        <v>Joining Rt 443 [Pine Grove] </v>
      </c>
      <c r="M432" s="13"/>
    </row>
    <row r="433" spans="1:13" ht="16.5">
      <c r="A433" s="9">
        <f>Compilation!E357</f>
        <v>692.4</v>
      </c>
      <c r="B433" s="9">
        <f t="shared" si="40"/>
        <v>32.10000000000002</v>
      </c>
      <c r="C433" s="9">
        <f t="shared" si="41"/>
        <v>0.5</v>
      </c>
      <c r="D433" s="10" t="str">
        <f>TRIM(Compilation!F357)</f>
        <v>L</v>
      </c>
      <c r="E433" s="11" t="str">
        <f>Compilation!I357</f>
        <v>Rt 895</v>
      </c>
      <c r="F433" s="32"/>
      <c r="G433" s="45">
        <f>Compilation!J357</f>
      </c>
      <c r="H433" s="3">
        <f t="shared" si="42"/>
      </c>
      <c r="I433" s="3">
        <f t="shared" si="43"/>
        <v>19</v>
      </c>
      <c r="J433" s="12">
        <f>IF(ISNUMBER(FIND("Controle",H433)),MATCH(H433,Controle!B:B,0),"")</f>
      </c>
      <c r="K433" s="7">
        <f t="shared" si="44"/>
        <v>660.3</v>
      </c>
      <c r="L433" s="7" t="str">
        <f t="shared" si="45"/>
        <v>Rt 895</v>
      </c>
      <c r="M433" s="13"/>
    </row>
    <row r="434" spans="1:13" ht="16.5">
      <c r="A434" s="9">
        <f>Compilation!E358</f>
        <v>693</v>
      </c>
      <c r="B434" s="9">
        <f t="shared" si="40"/>
        <v>32.700000000000045</v>
      </c>
      <c r="C434" s="9">
        <f t="shared" si="41"/>
        <v>0.6000000000000227</v>
      </c>
      <c r="D434" s="10" t="str">
        <f>TRIM(Compilation!F358)</f>
        <v>R</v>
      </c>
      <c r="E434" s="11" t="str">
        <f>Compilation!I358</f>
        <v>Rt 501</v>
      </c>
      <c r="F434" s="32"/>
      <c r="G434" s="45">
        <f>Compilation!J358</f>
      </c>
      <c r="H434" s="3">
        <f t="shared" si="42"/>
      </c>
      <c r="I434" s="3">
        <f t="shared" si="43"/>
        <v>19</v>
      </c>
      <c r="J434" s="12">
        <f>IF(ISNUMBER(FIND("Controle",H434)),MATCH(H434,Controle!B:B,0),"")</f>
      </c>
      <c r="K434" s="7">
        <f t="shared" si="44"/>
        <v>660.3</v>
      </c>
      <c r="L434" s="7" t="str">
        <f t="shared" si="45"/>
        <v>Rt 501</v>
      </c>
      <c r="M434" s="13"/>
    </row>
    <row r="435" spans="1:13" ht="16.5">
      <c r="A435" s="9">
        <f>Compilation!E359</f>
        <v>693.5</v>
      </c>
      <c r="B435" s="9">
        <f t="shared" si="40"/>
        <v>33.200000000000045</v>
      </c>
      <c r="C435" s="9">
        <f>A435-A434</f>
        <v>0.5</v>
      </c>
      <c r="D435" s="10" t="str">
        <f>TRIM(Compilation!F359)</f>
        <v>R</v>
      </c>
      <c r="E435" s="11" t="str">
        <f>Compilation!I359</f>
        <v>Mexico Rd / Brookside Ct</v>
      </c>
      <c r="F435" s="32"/>
      <c r="G435" s="45">
        <f>Compilation!J359</f>
      </c>
      <c r="H435" s="3">
        <f t="shared" si="42"/>
      </c>
      <c r="I435" s="3">
        <f>IF(LEFT(E435,8)="Controle",I434+1,I434)</f>
        <v>19</v>
      </c>
      <c r="J435" s="12">
        <f>IF(ISNUMBER(FIND("Controle",H435)),MATCH(H435,Controle!B:B,0),"")</f>
      </c>
      <c r="K435" s="7">
        <f>IF(H434&lt;&gt;"",A435,K434)</f>
        <v>660.3</v>
      </c>
      <c r="L435" s="7" t="str">
        <f t="shared" si="45"/>
        <v>Mexico Rd / Brookside Ct</v>
      </c>
      <c r="M435" s="13"/>
    </row>
    <row r="436" spans="1:13" ht="16.5">
      <c r="A436" s="9">
        <f>Compilation!E360</f>
        <v>694</v>
      </c>
      <c r="B436" s="9">
        <f t="shared" si="40"/>
        <v>33.700000000000045</v>
      </c>
      <c r="C436" s="9">
        <f>A436-A435</f>
        <v>0.5</v>
      </c>
      <c r="D436" s="10" t="str">
        <f>TRIM(Compilation!F360)</f>
        <v>T L</v>
      </c>
      <c r="E436" s="11" t="str">
        <f>Compilation!I360</f>
        <v>Rt 645</v>
      </c>
      <c r="F436" s="32"/>
      <c r="G436" s="45">
        <f>Compilation!J360</f>
      </c>
      <c r="H436" s="3">
        <f t="shared" si="42"/>
      </c>
      <c r="I436" s="3">
        <f>IF(LEFT(E436,8)="Controle",I435+1,I435)</f>
        <v>19</v>
      </c>
      <c r="J436" s="12">
        <f>IF(ISNUMBER(FIND("Controle",H436)),MATCH(H436,Controle!B:B,0),"")</f>
      </c>
      <c r="K436" s="7">
        <f>IF(H435&lt;&gt;"",A436,K435)</f>
        <v>660.3</v>
      </c>
      <c r="L436" s="7" t="str">
        <f t="shared" si="45"/>
        <v>Rt 645</v>
      </c>
      <c r="M436" s="13"/>
    </row>
    <row r="437" spans="1:13" ht="33">
      <c r="A437" s="9">
        <f>Compilation!E361</f>
        <v>696</v>
      </c>
      <c r="B437" s="9">
        <f t="shared" si="40"/>
        <v>35.700000000000045</v>
      </c>
      <c r="C437" s="9">
        <f>A437-A436</f>
        <v>2</v>
      </c>
      <c r="D437" s="10" t="str">
        <f>TRIM(Compilation!F361)</f>
        <v>X</v>
      </c>
      <c r="E437" s="11" t="str">
        <f>Compilation!I361</f>
        <v>Applachian Trail Caution: Steep twisty descent ahead</v>
      </c>
      <c r="F437" s="32"/>
      <c r="G437" s="45">
        <f>Compilation!J361</f>
      </c>
      <c r="H437" s="3">
        <f t="shared" si="42"/>
      </c>
      <c r="I437" s="3">
        <f>IF(LEFT(E437,8)="Controle",I436+1,I436)</f>
        <v>19</v>
      </c>
      <c r="J437" s="12">
        <f>IF(ISNUMBER(FIND("Controle",H437)),MATCH(H437,Controle!B:B,0),"")</f>
      </c>
      <c r="K437" s="7">
        <f>IF(H436&lt;&gt;"",A437,K436)</f>
        <v>660.3</v>
      </c>
      <c r="L437" s="7" t="str">
        <f t="shared" si="45"/>
        <v>Applachian Trail Caution: Steep twisty descent ahead</v>
      </c>
      <c r="M437" s="13"/>
    </row>
    <row r="438" spans="1:13" ht="16.5">
      <c r="A438" s="9">
        <f>Compilation!E362</f>
        <v>696.7</v>
      </c>
      <c r="B438" s="9">
        <f t="shared" si="40"/>
        <v>36.40000000000009</v>
      </c>
      <c r="C438" s="9">
        <f t="shared" si="41"/>
        <v>0.7000000000000455</v>
      </c>
      <c r="D438" s="10" t="str">
        <f>TRIM(Compilation!F362)</f>
        <v>T L</v>
      </c>
      <c r="E438" s="11" t="str">
        <f>Compilation!I362</f>
        <v>TRO Rt 645</v>
      </c>
      <c r="F438" s="32"/>
      <c r="G438" s="45">
        <f>Compilation!J362</f>
      </c>
      <c r="H438" s="3">
        <f t="shared" si="42"/>
      </c>
      <c r="I438" s="3">
        <f t="shared" si="43"/>
        <v>19</v>
      </c>
      <c r="J438" s="12">
        <f>IF(ISNUMBER(FIND("Controle",H438)),MATCH(H438,Controle!B:B,0),"")</f>
      </c>
      <c r="K438" s="7">
        <f t="shared" si="44"/>
        <v>660.3</v>
      </c>
      <c r="L438" s="7" t="str">
        <f t="shared" si="45"/>
        <v>TRO Rt 645</v>
      </c>
      <c r="M438" s="13"/>
    </row>
    <row r="439" spans="1:13" ht="33.75" thickBot="1">
      <c r="A439" s="9">
        <f>Compilation!E363</f>
        <v>700.8</v>
      </c>
      <c r="B439" s="9">
        <f t="shared" si="40"/>
        <v>40.5</v>
      </c>
      <c r="C439" s="9">
        <f>A439-A438</f>
        <v>4.099999999999909</v>
      </c>
      <c r="D439" s="10" t="str">
        <f>TRIM(Compilation!F363)</f>
        <v>STOP</v>
      </c>
      <c r="E439" s="11" t="str">
        <f>Compilation!I363</f>
        <v>Controle Flying-J Truck Stop (on right) </v>
      </c>
      <c r="F439" s="32"/>
      <c r="G439" s="45" t="str">
        <f>Compilation!J363</f>
        <v>Truck Stop Restaurant</v>
      </c>
      <c r="H439" s="3" t="str">
        <f t="shared" si="42"/>
        <v>Controle 20</v>
      </c>
      <c r="I439" s="3">
        <f>IF(LEFT(E439,8)="Controle",I438+1,I438)</f>
        <v>20</v>
      </c>
      <c r="J439" s="12">
        <f>IF(ISNUMBER(FIND("Controle",H439)),MATCH(H439,Controle!B:B,0),"")</f>
        <v>60</v>
      </c>
      <c r="K439" s="7">
        <f>IF(H438&lt;&gt;"",A439,K438)</f>
        <v>660.3</v>
      </c>
      <c r="L439" s="7" t="str">
        <f t="shared" si="45"/>
        <v>Controle Flying-J Truck Stop (on right) </v>
      </c>
      <c r="M439" s="13"/>
    </row>
    <row r="440" spans="1:12" ht="16.5">
      <c r="A440" s="53" t="str">
        <f>INDEX(Controle!H:H,Cue!J439)&amp;" "</f>
        <v>Controle 20 Flying J Truck Stop (717) 933-4146 </v>
      </c>
      <c r="B440" s="54"/>
      <c r="C440" s="54"/>
      <c r="D440" s="54"/>
      <c r="E440" s="55"/>
      <c r="F440" s="30"/>
      <c r="G440" s="43"/>
      <c r="H440" s="3">
        <f>IF(ISNUMBER(FIND("Controle",E440)),LEFT(E440,FIND(" ",E440,10)-1),"")</f>
      </c>
      <c r="I440" s="3">
        <f>IF(LEFT(E440,8)="Controle",I439+1,I439)</f>
        <v>20</v>
      </c>
      <c r="J440" s="12">
        <f>IF(ISNUMBER(FIND("Controle",H440)),MATCH(H440,Controle!B:B,0),"")</f>
      </c>
      <c r="K440" s="7">
        <f>IF(B439="Leg",A440,K439)</f>
        <v>660.3</v>
      </c>
      <c r="L440" s="7">
        <f>E440</f>
        <v>0</v>
      </c>
    </row>
    <row r="441" spans="1:12" ht="16.5">
      <c r="A441" s="50" t="str">
        <f>INDEX(Controle!H:H,Cue!J439+1)&amp;" "</f>
        <v>2210 Camp Swatara Rd / Rt 645, Frystown, PA  </v>
      </c>
      <c r="B441" s="51"/>
      <c r="C441" s="51"/>
      <c r="D441" s="51"/>
      <c r="E441" s="52"/>
      <c r="F441" s="30"/>
      <c r="G441" s="43"/>
      <c r="H441" s="3">
        <f>IF(ISNUMBER(FIND("Controle",E441)),LEFT(E441,FIND(" ",E441,10)-1),"")</f>
      </c>
      <c r="I441" s="3">
        <f>IF(LEFT(E441,8)="Controle",I440+1,I440)</f>
        <v>20</v>
      </c>
      <c r="J441" s="12">
        <f>IF(ISNUMBER(FIND("Controle",H441)),MATCH(H441,Controle!B:B,0),"")</f>
      </c>
      <c r="K441" s="7">
        <f>IF(B440="Leg",A441,K440)</f>
        <v>660.3</v>
      </c>
      <c r="L441" s="7">
        <f>E441</f>
        <v>0</v>
      </c>
    </row>
    <row r="442" spans="1:13" ht="17.25" thickBot="1">
      <c r="A442" s="47" t="str">
        <f>INDEX(Controle!H:H,Cue!J439+2)&amp;" "</f>
        <v>open: 08/09 17:54  close: 08/11 16:23 </v>
      </c>
      <c r="B442" s="48"/>
      <c r="C442" s="48"/>
      <c r="D442" s="48"/>
      <c r="E442" s="49"/>
      <c r="F442" s="31"/>
      <c r="G442" s="44"/>
      <c r="H442" s="3">
        <f>IF(ISNUMBER(FIND("Controle",E442)),LEFT(E442,FIND(" ",E442,10)-1),"")</f>
      </c>
      <c r="I442" s="3">
        <f>IF(LEFT(E442,8)="Controle",I441+1,I441)</f>
        <v>20</v>
      </c>
      <c r="J442" s="12">
        <f>IF(ISNUMBER(FIND("Controle",H442)),MATCH(H442,Controle!B:B,0),"")</f>
      </c>
      <c r="K442" s="7">
        <f>IF(B441="Leg",A442,K441)</f>
        <v>660.3</v>
      </c>
      <c r="L442" s="7">
        <f>E442</f>
        <v>0</v>
      </c>
      <c r="M442" s="8"/>
    </row>
    <row r="443" spans="1:13" ht="33">
      <c r="A443" s="9">
        <f>Compilation!E364</f>
        <v>700.8</v>
      </c>
      <c r="B443" s="9">
        <f t="shared" si="40"/>
        <v>0</v>
      </c>
      <c r="C443" s="9">
        <f>A443-A439</f>
        <v>0</v>
      </c>
      <c r="D443" s="10" t="str">
        <f>TRIM(Compilation!F364)</f>
        <v>Continue</v>
      </c>
      <c r="E443" s="11" t="str">
        <f>Compilation!I364</f>
        <v>Leave driveway turning right on Rt 645 (same direction)</v>
      </c>
      <c r="F443" s="32"/>
      <c r="G443" s="45">
        <f>Compilation!J364</f>
      </c>
      <c r="H443" s="3">
        <f t="shared" si="42"/>
      </c>
      <c r="I443" s="3">
        <f>IF(LEFT(E443,8)="Controle",I439+1,I439)</f>
        <v>20</v>
      </c>
      <c r="J443" s="12">
        <f>IF(ISNUMBER(FIND("Controle",H443)),MATCH(H443,Controle!B:B,0),"")</f>
      </c>
      <c r="K443" s="7">
        <f>IF(H439&lt;&gt;"",A443,K439)</f>
        <v>700.8</v>
      </c>
      <c r="L443" s="7" t="str">
        <f t="shared" si="45"/>
        <v>Leave driveway turning right on Rt 645 (same direction)</v>
      </c>
      <c r="M443" s="13"/>
    </row>
    <row r="444" spans="1:13" ht="16.5">
      <c r="A444" s="9">
        <f>Compilation!E365</f>
        <v>701.9</v>
      </c>
      <c r="B444" s="9">
        <f t="shared" si="40"/>
        <v>1.1000000000000227</v>
      </c>
      <c r="C444" s="9">
        <f t="shared" si="41"/>
        <v>1.1000000000000227</v>
      </c>
      <c r="D444" s="10" t="str">
        <f>TRIM(Compilation!F365)</f>
        <v>L</v>
      </c>
      <c r="E444" s="11" t="str">
        <f>Compilation!I365</f>
        <v>(TFL) Frystown Rd</v>
      </c>
      <c r="F444" s="32"/>
      <c r="G444" s="45">
        <f>Compilation!J365</f>
      </c>
      <c r="H444" s="3">
        <f t="shared" si="42"/>
      </c>
      <c r="I444" s="3">
        <f t="shared" si="43"/>
        <v>20</v>
      </c>
      <c r="J444" s="12">
        <f>IF(ISNUMBER(FIND("Controle",H444)),MATCH(H444,Controle!B:B,0),"")</f>
      </c>
      <c r="K444" s="7">
        <f t="shared" si="44"/>
        <v>700.8</v>
      </c>
      <c r="L444" s="7" t="str">
        <f t="shared" si="45"/>
        <v>(TFL) Frystown Rd</v>
      </c>
      <c r="M444" s="13"/>
    </row>
    <row r="445" spans="1:13" ht="16.5">
      <c r="A445" s="9">
        <f>Compilation!E366</f>
        <v>703.7</v>
      </c>
      <c r="B445" s="9">
        <f t="shared" si="40"/>
        <v>2.900000000000091</v>
      </c>
      <c r="C445" s="9">
        <f t="shared" si="41"/>
        <v>1.8000000000000682</v>
      </c>
      <c r="D445" s="10" t="str">
        <f>TRIM(Compilation!F366)</f>
        <v>T L</v>
      </c>
      <c r="E445" s="11" t="str">
        <f>Compilation!I366</f>
        <v>(SS) Rt 501</v>
      </c>
      <c r="F445" s="32"/>
      <c r="G445" s="45">
        <f>Compilation!J366</f>
      </c>
      <c r="H445" s="3">
        <f t="shared" si="42"/>
      </c>
      <c r="I445" s="3">
        <f t="shared" si="43"/>
        <v>20</v>
      </c>
      <c r="J445" s="12">
        <f>IF(ISNUMBER(FIND("Controle",H445)),MATCH(H445,Controle!B:B,0),"")</f>
      </c>
      <c r="K445" s="7">
        <f t="shared" si="44"/>
        <v>700.8</v>
      </c>
      <c r="L445" s="7" t="str">
        <f t="shared" si="45"/>
        <v>(SS) Rt 501</v>
      </c>
      <c r="M445" s="13"/>
    </row>
    <row r="446" spans="1:13" ht="33">
      <c r="A446" s="9">
        <f>Compilation!E367</f>
        <v>704.6</v>
      </c>
      <c r="B446" s="9">
        <f t="shared" si="40"/>
        <v>3.800000000000068</v>
      </c>
      <c r="C446" s="9">
        <f t="shared" si="41"/>
        <v>0.8999999999999773</v>
      </c>
      <c r="D446" s="10" t="str">
        <f>TRIM(Compilation!F367)</f>
        <v>Straight</v>
      </c>
      <c r="E446" s="11" t="str">
        <f>Compilation!I367</f>
        <v>(TFL) Rehrersburg Rd (leaving Rt 501 which goes left)</v>
      </c>
      <c r="F446" s="32"/>
      <c r="G446" s="45">
        <f>Compilation!J367</f>
      </c>
      <c r="H446" s="3">
        <f t="shared" si="42"/>
      </c>
      <c r="I446" s="3">
        <f t="shared" si="43"/>
        <v>20</v>
      </c>
      <c r="J446" s="12">
        <f>IF(ISNUMBER(FIND("Controle",H446)),MATCH(H446,Controle!B:B,0),"")</f>
      </c>
      <c r="K446" s="7">
        <f t="shared" si="44"/>
        <v>700.8</v>
      </c>
      <c r="L446" s="7" t="str">
        <f t="shared" si="45"/>
        <v>(TFL) Rehrersburg Rd (leaving Rt 501 which goes left)</v>
      </c>
      <c r="M446" s="13"/>
    </row>
    <row r="447" spans="1:13" ht="16.5">
      <c r="A447" s="9">
        <f>Compilation!E368</f>
        <v>704.8</v>
      </c>
      <c r="B447" s="9">
        <f t="shared" si="40"/>
        <v>4</v>
      </c>
      <c r="C447" s="9">
        <f t="shared" si="41"/>
        <v>0.1999999999999318</v>
      </c>
      <c r="D447" s="10" t="str">
        <f>TRIM(Compilation!F368)</f>
        <v>R</v>
      </c>
      <c r="E447" s="11" t="str">
        <f>Compilation!I368</f>
        <v>Wintersville Rd</v>
      </c>
      <c r="F447" s="32"/>
      <c r="G447" s="45">
        <f>Compilation!J368</f>
      </c>
      <c r="H447" s="3">
        <f t="shared" si="42"/>
      </c>
      <c r="I447" s="3">
        <f t="shared" si="43"/>
        <v>20</v>
      </c>
      <c r="J447" s="12">
        <f>IF(ISNUMBER(FIND("Controle",H447)),MATCH(H447,Controle!B:B,0),"")</f>
      </c>
      <c r="K447" s="7">
        <f t="shared" si="44"/>
        <v>700.8</v>
      </c>
      <c r="L447" s="7" t="str">
        <f t="shared" si="45"/>
        <v>Wintersville Rd</v>
      </c>
      <c r="M447" s="13"/>
    </row>
    <row r="448" spans="1:13" ht="16.5">
      <c r="A448" s="9">
        <f>Compilation!E369</f>
        <v>706.3</v>
      </c>
      <c r="B448" s="9">
        <f t="shared" si="40"/>
        <v>5.5</v>
      </c>
      <c r="C448" s="9">
        <f t="shared" si="41"/>
        <v>1.5</v>
      </c>
      <c r="D448" s="10" t="str">
        <f>TRIM(Compilation!F369)</f>
        <v>2nd L</v>
      </c>
      <c r="E448" s="11" t="str">
        <f>Compilation!I369</f>
        <v>Kurr Rd</v>
      </c>
      <c r="F448" s="32"/>
      <c r="G448" s="45">
        <f>Compilation!J369</f>
      </c>
      <c r="H448" s="3">
        <f t="shared" si="42"/>
      </c>
      <c r="I448" s="3">
        <f t="shared" si="43"/>
        <v>20</v>
      </c>
      <c r="J448" s="12">
        <f>IF(ISNUMBER(FIND("Controle",H448)),MATCH(H448,Controle!B:B,0),"")</f>
      </c>
      <c r="K448" s="7">
        <f t="shared" si="44"/>
        <v>700.8</v>
      </c>
      <c r="L448" s="7" t="str">
        <f t="shared" si="45"/>
        <v>Kurr Rd</v>
      </c>
      <c r="M448" s="13"/>
    </row>
    <row r="449" spans="1:13" ht="16.5">
      <c r="A449" s="9">
        <f>Compilation!E370</f>
        <v>707.1</v>
      </c>
      <c r="B449" s="9">
        <f t="shared" si="40"/>
        <v>6.300000000000068</v>
      </c>
      <c r="C449" s="9">
        <f t="shared" si="41"/>
        <v>0.8000000000000682</v>
      </c>
      <c r="D449" s="10" t="str">
        <f>TRIM(Compilation!F370)</f>
        <v>BL</v>
      </c>
      <c r="E449" s="11" t="str">
        <f>Compilation!I370</f>
        <v>FMR b/c Cherry Hill Rd</v>
      </c>
      <c r="F449" s="32"/>
      <c r="G449" s="45">
        <f>Compilation!J370</f>
      </c>
      <c r="H449" s="3">
        <f t="shared" si="42"/>
      </c>
      <c r="I449" s="3">
        <f t="shared" si="43"/>
        <v>20</v>
      </c>
      <c r="J449" s="12">
        <f>IF(ISNUMBER(FIND("Controle",H449)),MATCH(H449,Controle!B:B,0),"")</f>
      </c>
      <c r="K449" s="7">
        <f t="shared" si="44"/>
        <v>700.8</v>
      </c>
      <c r="L449" s="7" t="str">
        <f t="shared" si="45"/>
        <v>FMR b/c Cherry Hill Rd</v>
      </c>
      <c r="M449" s="13"/>
    </row>
    <row r="450" spans="1:13" ht="16.5">
      <c r="A450" s="9">
        <f>Compilation!E371</f>
        <v>707.2</v>
      </c>
      <c r="B450" s="9">
        <f t="shared" si="40"/>
        <v>6.400000000000091</v>
      </c>
      <c r="C450" s="9">
        <f t="shared" si="41"/>
        <v>0.10000000000002274</v>
      </c>
      <c r="D450" s="10" t="str">
        <f>TRIM(Compilation!F371)</f>
        <v>QR</v>
      </c>
      <c r="E450" s="11" t="str">
        <f>Compilation!I371</f>
        <v>Four Point Rd</v>
      </c>
      <c r="F450" s="32"/>
      <c r="G450" s="45">
        <f>Compilation!J371</f>
      </c>
      <c r="H450" s="3">
        <f t="shared" si="42"/>
      </c>
      <c r="I450" s="3">
        <f t="shared" si="43"/>
        <v>20</v>
      </c>
      <c r="J450" s="12">
        <f>IF(ISNUMBER(FIND("Controle",H450)),MATCH(H450,Controle!B:B,0),"")</f>
      </c>
      <c r="K450" s="7">
        <f t="shared" si="44"/>
        <v>700.8</v>
      </c>
      <c r="L450" s="7" t="str">
        <f t="shared" si="45"/>
        <v>Four Point Rd</v>
      </c>
      <c r="M450" s="13"/>
    </row>
    <row r="451" spans="1:13" ht="16.5">
      <c r="A451" s="9">
        <f>Compilation!E372</f>
        <v>708</v>
      </c>
      <c r="B451" s="9">
        <f t="shared" si="40"/>
        <v>7.2000000000000455</v>
      </c>
      <c r="C451" s="9">
        <f t="shared" si="41"/>
        <v>0.7999999999999545</v>
      </c>
      <c r="D451" s="10" t="str">
        <f>TRIM(Compilation!F372)</f>
        <v>x</v>
      </c>
      <c r="E451" s="11" t="str">
        <f>Compilation!I372</f>
        <v>(SS) TRO Four Point Rd</v>
      </c>
      <c r="F451" s="32"/>
      <c r="G451" s="45">
        <f>Compilation!J372</f>
      </c>
      <c r="H451" s="3">
        <f t="shared" si="42"/>
      </c>
      <c r="I451" s="3">
        <f t="shared" si="43"/>
        <v>20</v>
      </c>
      <c r="J451" s="12">
        <f>IF(ISNUMBER(FIND("Controle",H451)),MATCH(H451,Controle!B:B,0),"")</f>
      </c>
      <c r="K451" s="7">
        <f t="shared" si="44"/>
        <v>700.8</v>
      </c>
      <c r="L451" s="7" t="str">
        <f t="shared" si="45"/>
        <v>(SS) TRO Four Point Rd</v>
      </c>
      <c r="M451" s="13"/>
    </row>
    <row r="452" spans="1:13" ht="16.5">
      <c r="A452" s="9">
        <f>Compilation!E373</f>
        <v>708.8</v>
      </c>
      <c r="B452" s="9">
        <f t="shared" si="40"/>
        <v>8</v>
      </c>
      <c r="C452" s="9">
        <f t="shared" si="41"/>
        <v>0.7999999999999545</v>
      </c>
      <c r="D452" s="10" t="str">
        <f>TRIM(Compilation!F373)</f>
        <v>T R</v>
      </c>
      <c r="E452" s="11" t="str">
        <f>Compilation!I373</f>
        <v>Rt 419</v>
      </c>
      <c r="F452" s="32"/>
      <c r="G452" s="45">
        <f>Compilation!J373</f>
      </c>
      <c r="H452" s="3">
        <f t="shared" si="42"/>
      </c>
      <c r="I452" s="3">
        <f t="shared" si="43"/>
        <v>20</v>
      </c>
      <c r="J452" s="12">
        <f>IF(ISNUMBER(FIND("Controle",H452)),MATCH(H452,Controle!B:B,0),"")</f>
      </c>
      <c r="K452" s="7">
        <f t="shared" si="44"/>
        <v>700.8</v>
      </c>
      <c r="L452" s="7" t="str">
        <f t="shared" si="45"/>
        <v>Rt 419</v>
      </c>
      <c r="M452" s="13"/>
    </row>
    <row r="453" spans="1:13" ht="16.5">
      <c r="A453" s="9">
        <f>Compilation!E374</f>
        <v>709.3</v>
      </c>
      <c r="B453" s="9">
        <f t="shared" si="40"/>
        <v>8.5</v>
      </c>
      <c r="C453" s="9">
        <f t="shared" si="41"/>
        <v>0.5</v>
      </c>
      <c r="D453" s="10" t="str">
        <f>TRIM(Compilation!F374)</f>
        <v>1st L</v>
      </c>
      <c r="E453" s="11" t="str">
        <f>Compilation!I374</f>
        <v>Summer Mountain Rd</v>
      </c>
      <c r="F453" s="32"/>
      <c r="G453" s="45">
        <f>Compilation!J374</f>
      </c>
      <c r="H453" s="3">
        <f t="shared" si="42"/>
      </c>
      <c r="I453" s="3">
        <f t="shared" si="43"/>
        <v>20</v>
      </c>
      <c r="J453" s="12">
        <f>IF(ISNUMBER(FIND("Controle",H453)),MATCH(H453,Controle!B:B,0),"")</f>
      </c>
      <c r="K453" s="7">
        <f t="shared" si="44"/>
        <v>700.8</v>
      </c>
      <c r="L453" s="7" t="str">
        <f t="shared" si="45"/>
        <v>Summer Mountain Rd</v>
      </c>
      <c r="M453" s="13"/>
    </row>
    <row r="454" spans="1:13" ht="16.5">
      <c r="A454" s="9">
        <f>Compilation!E375</f>
        <v>714.1</v>
      </c>
      <c r="B454" s="9">
        <f t="shared" si="40"/>
        <v>13.300000000000068</v>
      </c>
      <c r="C454" s="9">
        <f t="shared" si="41"/>
        <v>4.800000000000068</v>
      </c>
      <c r="D454" s="10" t="str">
        <f>TRIM(Compilation!F375)</f>
        <v>X</v>
      </c>
      <c r="E454" s="11" t="str">
        <f>Compilation!I375</f>
        <v>Caution: Metal Grate Bridge</v>
      </c>
      <c r="F454" s="32"/>
      <c r="G454" s="45">
        <f>Compilation!J375</f>
      </c>
      <c r="H454" s="3">
        <f t="shared" si="42"/>
      </c>
      <c r="I454" s="3">
        <f t="shared" si="43"/>
        <v>20</v>
      </c>
      <c r="J454" s="12">
        <f>IF(ISNUMBER(FIND("Controle",H454)),MATCH(H454,Controle!B:B,0),"")</f>
      </c>
      <c r="K454" s="7">
        <f t="shared" si="44"/>
        <v>700.8</v>
      </c>
      <c r="L454" s="7" t="str">
        <f t="shared" si="45"/>
        <v>Caution: Metal Grate Bridge</v>
      </c>
      <c r="M454" s="13"/>
    </row>
    <row r="455" spans="1:13" ht="16.5">
      <c r="A455" s="9">
        <f>Compilation!E376</f>
        <v>714.6</v>
      </c>
      <c r="B455" s="9">
        <f t="shared" si="40"/>
        <v>13.800000000000068</v>
      </c>
      <c r="C455" s="9">
        <f t="shared" si="41"/>
        <v>0.5</v>
      </c>
      <c r="D455" s="10" t="str">
        <f>TRIM(Compilation!F376)</f>
        <v>T R</v>
      </c>
      <c r="E455" s="11" t="str">
        <f>Compilation!I376</f>
        <v>Rt 183</v>
      </c>
      <c r="F455" s="32"/>
      <c r="G455" s="45">
        <f>Compilation!J376</f>
      </c>
      <c r="H455" s="3">
        <f t="shared" si="42"/>
      </c>
      <c r="I455" s="3">
        <f t="shared" si="43"/>
        <v>20</v>
      </c>
      <c r="J455" s="12">
        <f>IF(ISNUMBER(FIND("Controle",H455)),MATCH(H455,Controle!B:B,0),"")</f>
      </c>
      <c r="K455" s="7">
        <f t="shared" si="44"/>
        <v>700.8</v>
      </c>
      <c r="L455" s="7" t="str">
        <f t="shared" si="45"/>
        <v>Rt 183</v>
      </c>
      <c r="M455" s="13"/>
    </row>
    <row r="456" spans="1:13" ht="16.5">
      <c r="A456" s="9">
        <f>Compilation!E377</f>
        <v>715.9</v>
      </c>
      <c r="B456" s="9">
        <f t="shared" si="40"/>
        <v>15.100000000000023</v>
      </c>
      <c r="C456" s="9">
        <f t="shared" si="41"/>
        <v>1.2999999999999545</v>
      </c>
      <c r="D456" s="10" t="str">
        <f>TRIM(Compilation!F377)</f>
        <v>1st L</v>
      </c>
      <c r="E456" s="11" t="str">
        <f>Compilation!I377</f>
        <v>Shartlesville Rd</v>
      </c>
      <c r="F456" s="32"/>
      <c r="G456" s="45">
        <f>Compilation!J377</f>
      </c>
      <c r="H456" s="3">
        <f t="shared" si="42"/>
      </c>
      <c r="I456" s="3">
        <f t="shared" si="43"/>
        <v>20</v>
      </c>
      <c r="J456" s="12">
        <f>IF(ISNUMBER(FIND("Controle",H456)),MATCH(H456,Controle!B:B,0),"")</f>
      </c>
      <c r="K456" s="7">
        <f t="shared" si="44"/>
        <v>700.8</v>
      </c>
      <c r="L456" s="7" t="str">
        <f t="shared" si="45"/>
        <v>Shartlesville Rd</v>
      </c>
      <c r="M456" s="13"/>
    </row>
    <row r="457" spans="1:13" ht="16.5">
      <c r="A457" s="9">
        <f>Compilation!E378</f>
        <v>716.8</v>
      </c>
      <c r="B457" s="9">
        <f t="shared" si="40"/>
        <v>16</v>
      </c>
      <c r="C457" s="9">
        <f t="shared" si="41"/>
        <v>0.8999999999999773</v>
      </c>
      <c r="D457" s="10" t="str">
        <f>TRIM(Compilation!F378)</f>
        <v>R</v>
      </c>
      <c r="E457" s="11" t="str">
        <f>Compilation!I378</f>
        <v>Irish Creek Rd / Rt 4022</v>
      </c>
      <c r="F457" s="32"/>
      <c r="G457" s="45">
        <f>Compilation!J378</f>
      </c>
      <c r="H457" s="3">
        <f t="shared" si="42"/>
      </c>
      <c r="I457" s="3">
        <f t="shared" si="43"/>
        <v>20</v>
      </c>
      <c r="J457" s="12">
        <f>IF(ISNUMBER(FIND("Controle",H457)),MATCH(H457,Controle!B:B,0),"")</f>
      </c>
      <c r="K457" s="7">
        <f t="shared" si="44"/>
        <v>700.8</v>
      </c>
      <c r="L457" s="7" t="str">
        <f t="shared" si="45"/>
        <v>Irish Creek Rd / Rt 4022</v>
      </c>
      <c r="M457" s="13"/>
    </row>
    <row r="458" spans="1:13" ht="16.5">
      <c r="A458" s="9">
        <f>Compilation!E379</f>
        <v>721.8</v>
      </c>
      <c r="B458" s="9">
        <f t="shared" si="40"/>
        <v>21</v>
      </c>
      <c r="C458" s="9">
        <f t="shared" si="41"/>
        <v>5</v>
      </c>
      <c r="D458" s="10" t="str">
        <f>TRIM(Compilation!F379)</f>
        <v>T L</v>
      </c>
      <c r="E458" s="11" t="str">
        <f>Compilation!I379</f>
        <v>(SS) TRO Irish Creek Rd</v>
      </c>
      <c r="F458" s="32"/>
      <c r="G458" s="45">
        <f>Compilation!J379</f>
      </c>
      <c r="H458" s="3">
        <f t="shared" si="42"/>
      </c>
      <c r="I458" s="3">
        <f t="shared" si="43"/>
        <v>20</v>
      </c>
      <c r="J458" s="12">
        <f>IF(ISNUMBER(FIND("Controle",H458)),MATCH(H458,Controle!B:B,0),"")</f>
      </c>
      <c r="K458" s="7">
        <f t="shared" si="44"/>
        <v>700.8</v>
      </c>
      <c r="L458" s="7" t="str">
        <f t="shared" si="45"/>
        <v>(SS) TRO Irish Creek Rd</v>
      </c>
      <c r="M458" s="13"/>
    </row>
    <row r="459" spans="1:13" ht="16.5">
      <c r="A459" s="9">
        <f>Compilation!E380</f>
        <v>723.6</v>
      </c>
      <c r="B459" s="9">
        <f t="shared" si="40"/>
        <v>22.800000000000068</v>
      </c>
      <c r="C459" s="9">
        <f t="shared" si="41"/>
        <v>1.8000000000000682</v>
      </c>
      <c r="D459" s="10" t="str">
        <f>TRIM(Compilation!F380)</f>
        <v>T R</v>
      </c>
      <c r="E459" s="11" t="str">
        <f>Compilation!I380</f>
        <v>Main St [Centerport]</v>
      </c>
      <c r="F459" s="32"/>
      <c r="G459" s="45">
        <f>Compilation!J380</f>
      </c>
      <c r="H459" s="3">
        <f t="shared" si="42"/>
      </c>
      <c r="I459" s="3">
        <f t="shared" si="43"/>
        <v>20</v>
      </c>
      <c r="J459" s="12">
        <f>IF(ISNUMBER(FIND("Controle",H459)),MATCH(H459,Controle!B:B,0),"")</f>
      </c>
      <c r="K459" s="7">
        <f t="shared" si="44"/>
        <v>700.8</v>
      </c>
      <c r="L459" s="7" t="str">
        <f t="shared" si="45"/>
        <v>Main St [Centerport]</v>
      </c>
      <c r="M459" s="13"/>
    </row>
    <row r="460" spans="1:13" ht="33">
      <c r="A460" s="9">
        <f>Compilation!E381</f>
        <v>723.6</v>
      </c>
      <c r="B460" s="9">
        <f t="shared" si="40"/>
        <v>22.800000000000068</v>
      </c>
      <c r="C460" s="9">
        <f t="shared" si="41"/>
        <v>0</v>
      </c>
      <c r="D460" s="10" t="str">
        <f>TRIM(Compilation!F381)</f>
        <v>QBL</v>
      </c>
      <c r="E460" s="11" t="str">
        <f>Compilation!I381</f>
        <v>TRO Main St (at Sanford's Place)</v>
      </c>
      <c r="F460" s="32"/>
      <c r="G460" s="45">
        <f>Compilation!J381</f>
      </c>
      <c r="H460" s="3">
        <f t="shared" si="42"/>
      </c>
      <c r="I460" s="3">
        <f t="shared" si="43"/>
        <v>20</v>
      </c>
      <c r="J460" s="12">
        <f>IF(ISNUMBER(FIND("Controle",H460)),MATCH(H460,Controle!B:B,0),"")</f>
      </c>
      <c r="K460" s="7">
        <f t="shared" si="44"/>
        <v>700.8</v>
      </c>
      <c r="L460" s="7" t="str">
        <f t="shared" si="45"/>
        <v>TRO Main St (at Sanford's Place)</v>
      </c>
      <c r="M460" s="13"/>
    </row>
    <row r="461" spans="1:13" ht="16.5">
      <c r="A461" s="9">
        <f>Compilation!E382</f>
        <v>724.2</v>
      </c>
      <c r="B461" s="9">
        <f t="shared" si="40"/>
        <v>23.40000000000009</v>
      </c>
      <c r="C461" s="9">
        <f t="shared" si="41"/>
        <v>0.6000000000000227</v>
      </c>
      <c r="D461" s="10" t="str">
        <f>TRIM(Compilation!F382)</f>
        <v>L</v>
      </c>
      <c r="E461" s="11" t="str">
        <f>Compilation!I382</f>
        <v>Shoey Rd / Rt 4025</v>
      </c>
      <c r="F461" s="32"/>
      <c r="G461" s="45">
        <f>Compilation!J382</f>
      </c>
      <c r="H461" s="3">
        <f t="shared" si="42"/>
      </c>
      <c r="I461" s="3">
        <f t="shared" si="43"/>
        <v>20</v>
      </c>
      <c r="J461" s="12">
        <f>IF(ISNUMBER(FIND("Controle",H461)),MATCH(H461,Controle!B:B,0),"")</f>
      </c>
      <c r="K461" s="7">
        <f t="shared" si="44"/>
        <v>700.8</v>
      </c>
      <c r="L461" s="7" t="str">
        <f t="shared" si="45"/>
        <v>Shoey Rd / Rt 4025</v>
      </c>
      <c r="M461" s="13"/>
    </row>
    <row r="462" spans="1:13" ht="16.5">
      <c r="A462" s="9">
        <f>Compilation!E383</f>
        <v>725.9</v>
      </c>
      <c r="B462" s="9">
        <f t="shared" si="40"/>
        <v>25.100000000000023</v>
      </c>
      <c r="C462" s="9">
        <f t="shared" si="41"/>
        <v>1.6999999999999318</v>
      </c>
      <c r="D462" s="10" t="str">
        <f>TRIM(Compilation!F383)</f>
        <v>X</v>
      </c>
      <c r="E462" s="11" t="str">
        <f>Compilation!I383</f>
        <v>RR Tracks on downhill: Caution</v>
      </c>
      <c r="F462" s="32"/>
      <c r="G462" s="45">
        <f>Compilation!J383</f>
      </c>
      <c r="H462" s="3">
        <f t="shared" si="42"/>
      </c>
      <c r="I462" s="3">
        <f t="shared" si="43"/>
        <v>20</v>
      </c>
      <c r="J462" s="12">
        <f>IF(ISNUMBER(FIND("Controle",H462)),MATCH(H462,Controle!B:B,0),"")</f>
      </c>
      <c r="K462" s="7">
        <f t="shared" si="44"/>
        <v>700.8</v>
      </c>
      <c r="L462" s="7" t="str">
        <f t="shared" si="45"/>
        <v>RR Tracks on downhill: Caution</v>
      </c>
      <c r="M462" s="13"/>
    </row>
    <row r="463" spans="1:13" ht="16.5">
      <c r="A463" s="9">
        <f>Compilation!E384</f>
        <v>726.2</v>
      </c>
      <c r="B463" s="9">
        <f t="shared" si="40"/>
        <v>25.40000000000009</v>
      </c>
      <c r="C463" s="9">
        <f t="shared" si="41"/>
        <v>0.3000000000000682</v>
      </c>
      <c r="D463" s="10" t="str">
        <f>TRIM(Compilation!F384)</f>
        <v>T L</v>
      </c>
      <c r="E463" s="11" t="str">
        <f>Compilation!I384</f>
        <v>Main St [Shoemakersville]</v>
      </c>
      <c r="F463" s="32"/>
      <c r="G463" s="45">
        <f>Compilation!J384</f>
      </c>
      <c r="H463" s="3">
        <f t="shared" si="42"/>
      </c>
      <c r="I463" s="3">
        <f t="shared" si="43"/>
        <v>20</v>
      </c>
      <c r="J463" s="12">
        <f>IF(ISNUMBER(FIND("Controle",H463)),MATCH(H463,Controle!B:B,0),"")</f>
      </c>
      <c r="K463" s="7">
        <f t="shared" si="44"/>
        <v>700.8</v>
      </c>
      <c r="L463" s="7" t="str">
        <f t="shared" si="45"/>
        <v>Main St [Shoemakersville]</v>
      </c>
      <c r="M463" s="13"/>
    </row>
    <row r="464" spans="1:13" ht="16.5">
      <c r="A464" s="9">
        <f>Compilation!E385</f>
        <v>726.4</v>
      </c>
      <c r="B464" s="9">
        <f t="shared" si="40"/>
        <v>25.600000000000023</v>
      </c>
      <c r="C464" s="9">
        <f t="shared" si="41"/>
        <v>0.1999999999999318</v>
      </c>
      <c r="D464" s="10" t="str">
        <f>TRIM(Compilation!F385)</f>
        <v>X</v>
      </c>
      <c r="E464" s="11" t="str">
        <f>Compilation!I385</f>
        <v>Bad angle RR Tracks: Caution</v>
      </c>
      <c r="F464" s="32"/>
      <c r="G464" s="45">
        <f>Compilation!J385</f>
      </c>
      <c r="H464" s="3">
        <f t="shared" si="42"/>
      </c>
      <c r="I464" s="3">
        <f t="shared" si="43"/>
        <v>20</v>
      </c>
      <c r="J464" s="12">
        <f>IF(ISNUMBER(FIND("Controle",H464)),MATCH(H464,Controle!B:B,0),"")</f>
      </c>
      <c r="K464" s="7">
        <f t="shared" si="44"/>
        <v>700.8</v>
      </c>
      <c r="L464" s="7" t="str">
        <f t="shared" si="45"/>
        <v>Bad angle RR Tracks: Caution</v>
      </c>
      <c r="M464" s="13"/>
    </row>
    <row r="465" spans="1:13" ht="16.5">
      <c r="A465" s="9">
        <f>Compilation!E386</f>
        <v>726.5</v>
      </c>
      <c r="B465" s="9">
        <f t="shared" si="40"/>
        <v>25.700000000000045</v>
      </c>
      <c r="C465" s="9">
        <f t="shared" si="41"/>
        <v>0.10000000000002274</v>
      </c>
      <c r="D465" s="10" t="str">
        <f>TRIM(Compilation!F386)</f>
        <v>R</v>
      </c>
      <c r="E465" s="11" t="str">
        <f>Compilation!I386</f>
        <v>(SS) Noble Rd</v>
      </c>
      <c r="F465" s="32"/>
      <c r="G465" s="45">
        <f>Compilation!J386</f>
      </c>
      <c r="H465" s="3">
        <f t="shared" si="42"/>
      </c>
      <c r="I465" s="3">
        <f t="shared" si="43"/>
        <v>20</v>
      </c>
      <c r="J465" s="12">
        <f>IF(ISNUMBER(FIND("Controle",H465)),MATCH(H465,Controle!B:B,0),"")</f>
      </c>
      <c r="K465" s="7">
        <f t="shared" si="44"/>
        <v>700.8</v>
      </c>
      <c r="L465" s="7" t="str">
        <f t="shared" si="45"/>
        <v>(SS) Noble Rd</v>
      </c>
      <c r="M465" s="13"/>
    </row>
    <row r="466" spans="1:13" ht="42.75">
      <c r="A466" s="9">
        <f>Compilation!E387</f>
        <v>726.9</v>
      </c>
      <c r="B466" s="9">
        <f t="shared" si="40"/>
        <v>26.100000000000023</v>
      </c>
      <c r="C466" s="9">
        <f t="shared" si="41"/>
        <v>0.39999999999997726</v>
      </c>
      <c r="D466" s="10" t="str">
        <f>TRIM(Compilation!F387)</f>
        <v>X</v>
      </c>
      <c r="E466" s="11" t="str">
        <f>Compilation!I387</f>
        <v>(TFL) Rt 61 (now on Rt 662 / Moslem Spring Rd)  </v>
      </c>
      <c r="F466" s="32"/>
      <c r="G466" s="45" t="str">
        <f>Compilation!J387</f>
        <v>MiniMarket (no services at next controle)</v>
      </c>
      <c r="H466" s="3">
        <f t="shared" si="42"/>
      </c>
      <c r="I466" s="3">
        <f t="shared" si="43"/>
        <v>20</v>
      </c>
      <c r="J466" s="12">
        <f>IF(ISNUMBER(FIND("Controle",H466)),MATCH(H466,Controle!B:B,0),"")</f>
      </c>
      <c r="K466" s="7">
        <f t="shared" si="44"/>
        <v>700.8</v>
      </c>
      <c r="L466" s="7" t="str">
        <f t="shared" si="45"/>
        <v>(TFL) Rt 61 (now on Rt 662 / Moslem Spring Rd)  </v>
      </c>
      <c r="M466" s="13"/>
    </row>
    <row r="467" spans="1:13" ht="16.5">
      <c r="A467" s="9">
        <f>Compilation!E388</f>
        <v>727.3</v>
      </c>
      <c r="B467" s="9">
        <f t="shared" si="40"/>
        <v>26.5</v>
      </c>
      <c r="C467" s="9">
        <f>A467-A466</f>
        <v>0.39999999999997726</v>
      </c>
      <c r="D467" s="10" t="str">
        <f>TRIM(Compilation!F388)</f>
        <v>1st L</v>
      </c>
      <c r="E467" s="11" t="str">
        <f>Compilation!I388</f>
        <v>Dreibelbis Mill Rd</v>
      </c>
      <c r="F467" s="32"/>
      <c r="G467" s="45">
        <f>Compilation!J388</f>
      </c>
      <c r="H467" s="3">
        <f t="shared" si="42"/>
      </c>
      <c r="I467" s="3">
        <f>IF(LEFT(E467,8)="Controle",I466+1,I466)</f>
        <v>20</v>
      </c>
      <c r="J467" s="12">
        <f>IF(ISNUMBER(FIND("Controle",H467)),MATCH(H467,Controle!B:B,0),"")</f>
      </c>
      <c r="K467" s="7">
        <f>IF(H466&lt;&gt;"",A467,K466)</f>
        <v>700.8</v>
      </c>
      <c r="L467" s="7" t="str">
        <f t="shared" si="45"/>
        <v>Dreibelbis Mill Rd</v>
      </c>
      <c r="M467" s="13"/>
    </row>
    <row r="468" spans="1:13" ht="16.5">
      <c r="A468" s="9">
        <f>Compilation!E389</f>
        <v>728.5</v>
      </c>
      <c r="B468" s="9">
        <f t="shared" si="40"/>
        <v>27.700000000000045</v>
      </c>
      <c r="C468" s="9">
        <f>A468-A467</f>
        <v>1.2000000000000455</v>
      </c>
      <c r="D468" s="10" t="str">
        <f>TRIM(Compilation!F389)</f>
        <v>1st R</v>
      </c>
      <c r="E468" s="11" t="str">
        <f>Compilation!I389</f>
        <v>Onyx Cave Rd</v>
      </c>
      <c r="F468" s="32"/>
      <c r="G468" s="45">
        <f>Compilation!J389</f>
      </c>
      <c r="H468" s="3">
        <f t="shared" si="42"/>
      </c>
      <c r="I468" s="3">
        <f>IF(LEFT(E468,8)="Controle",I467+1,I467)</f>
        <v>20</v>
      </c>
      <c r="J468" s="12">
        <f>IF(ISNUMBER(FIND("Controle",H468)),MATCH(H468,Controle!B:B,0),"")</f>
      </c>
      <c r="K468" s="7">
        <f>IF(H467&lt;&gt;"",A468,K467)</f>
        <v>700.8</v>
      </c>
      <c r="L468" s="7" t="str">
        <f t="shared" si="45"/>
        <v>Onyx Cave Rd</v>
      </c>
      <c r="M468" s="13"/>
    </row>
    <row r="469" spans="1:13" ht="16.5">
      <c r="A469" s="9">
        <f>Compilation!E390</f>
        <v>731.6</v>
      </c>
      <c r="B469" s="9">
        <f t="shared" si="40"/>
        <v>30.800000000000068</v>
      </c>
      <c r="C469" s="9">
        <f>A469-A468</f>
        <v>3.1000000000000227</v>
      </c>
      <c r="D469" s="10" t="str">
        <f>TRIM(Compilation!F390)</f>
        <v>T L</v>
      </c>
      <c r="E469" s="11" t="str">
        <f>Compilation!I390</f>
        <v>Ontelaunee Trl</v>
      </c>
      <c r="F469" s="32"/>
      <c r="G469" s="45">
        <f>Compilation!J390</f>
      </c>
      <c r="H469" s="3">
        <f t="shared" si="42"/>
      </c>
      <c r="I469" s="3">
        <f>IF(LEFT(E469,8)="Controle",I468+1,I468)</f>
        <v>20</v>
      </c>
      <c r="J469" s="12">
        <f>IF(ISNUMBER(FIND("Controle",H469)),MATCH(H469,Controle!B:B,0),"")</f>
      </c>
      <c r="K469" s="7">
        <f>IF(H468&lt;&gt;"",A469,K468)</f>
        <v>700.8</v>
      </c>
      <c r="L469" s="7" t="str">
        <f t="shared" si="45"/>
        <v>Ontelaunee Trl</v>
      </c>
      <c r="M469" s="13"/>
    </row>
    <row r="470" spans="1:13" ht="33">
      <c r="A470" s="9">
        <f>Compilation!E391</f>
        <v>732.5</v>
      </c>
      <c r="B470" s="9">
        <f t="shared" si="40"/>
        <v>31.700000000000045</v>
      </c>
      <c r="C470" s="9">
        <f t="shared" si="41"/>
        <v>0.8999999999999773</v>
      </c>
      <c r="D470" s="10" t="str">
        <f>TRIM(Compilation!F391)</f>
        <v>T R</v>
      </c>
      <c r="E470" s="11" t="str">
        <f>Compilation!I391</f>
        <v>TRO Ontelaunee Trl (Jct Farview)</v>
      </c>
      <c r="F470" s="32"/>
      <c r="G470" s="45">
        <f>Compilation!J391</f>
      </c>
      <c r="H470" s="3">
        <f t="shared" si="42"/>
      </c>
      <c r="I470" s="3">
        <f t="shared" si="43"/>
        <v>20</v>
      </c>
      <c r="J470" s="12">
        <f>IF(ISNUMBER(FIND("Controle",H470)),MATCH(H470,Controle!B:B,0),"")</f>
      </c>
      <c r="K470" s="7">
        <f t="shared" si="44"/>
        <v>700.8</v>
      </c>
      <c r="L470" s="7" t="str">
        <f t="shared" si="45"/>
        <v>TRO Ontelaunee Trl (Jct Farview)</v>
      </c>
      <c r="M470" s="13"/>
    </row>
    <row r="471" spans="1:13" ht="16.5">
      <c r="A471" s="9">
        <f>Compilation!E392</f>
        <v>732.8</v>
      </c>
      <c r="B471" s="9">
        <f t="shared" si="40"/>
        <v>32</v>
      </c>
      <c r="C471" s="9">
        <f t="shared" si="41"/>
        <v>0.2999999999999545</v>
      </c>
      <c r="D471" s="10" t="str">
        <f>TRIM(Compilation!F392)</f>
        <v>T R</v>
      </c>
      <c r="E471" s="11" t="str">
        <f>Compilation!I392</f>
        <v>Rt 143</v>
      </c>
      <c r="F471" s="32"/>
      <c r="G471" s="45">
        <f>Compilation!J392</f>
      </c>
      <c r="H471" s="3">
        <f t="shared" si="42"/>
      </c>
      <c r="I471" s="3">
        <f t="shared" si="43"/>
        <v>20</v>
      </c>
      <c r="J471" s="12">
        <f>IF(ISNUMBER(FIND("Controle",H471)),MATCH(H471,Controle!B:B,0),"")</f>
      </c>
      <c r="K471" s="7">
        <f t="shared" si="44"/>
        <v>700.8</v>
      </c>
      <c r="L471" s="7" t="str">
        <f t="shared" si="45"/>
        <v>Rt 143</v>
      </c>
      <c r="M471" s="13"/>
    </row>
    <row r="472" spans="1:13" ht="50.25" thickBot="1">
      <c r="A472" s="9">
        <f>Compilation!E393</f>
        <v>733</v>
      </c>
      <c r="B472" s="9">
        <f t="shared" si="40"/>
        <v>32.200000000000045</v>
      </c>
      <c r="C472" s="9">
        <f>A472-A471</f>
        <v>0.20000000000004547</v>
      </c>
      <c r="D472" s="10" t="str">
        <f>TRIM(Compilation!F393)</f>
        <v>STOP</v>
      </c>
      <c r="E472" s="11" t="str">
        <f>Compilation!I393</f>
        <v>Controle Virginville Post Office (on left Jct Crystal Cave Rd (Mail Postcard) </v>
      </c>
      <c r="F472" s="32"/>
      <c r="G472" s="45" t="str">
        <f>Compilation!J393</f>
        <v>tavern in town</v>
      </c>
      <c r="H472" s="3" t="str">
        <f t="shared" si="42"/>
        <v>Controle 21</v>
      </c>
      <c r="I472" s="3">
        <f>IF(LEFT(E472,8)="Controle",I471+1,I471)</f>
        <v>21</v>
      </c>
      <c r="J472" s="12">
        <f>IF(ISNUMBER(FIND("Controle",H472)),MATCH(H472,Controle!B:B,0),"")</f>
        <v>63</v>
      </c>
      <c r="K472" s="7">
        <f>IF(H471&lt;&gt;"",A472,K471)</f>
        <v>700.8</v>
      </c>
      <c r="L472" s="7" t="str">
        <f t="shared" si="45"/>
        <v>Controle Virginville Post Office (on left Jct Crystal Cave Rd (Mail Postcard) </v>
      </c>
      <c r="M472" s="13"/>
    </row>
    <row r="473" spans="1:12" ht="16.5">
      <c r="A473" s="53" t="str">
        <f>INDEX(Controle!H:H,Cue!J472)&amp;" "</f>
        <v>Controle 21 US Post Office (610) 562-5577 </v>
      </c>
      <c r="B473" s="54"/>
      <c r="C473" s="54"/>
      <c r="D473" s="54"/>
      <c r="E473" s="55"/>
      <c r="F473" s="30"/>
      <c r="G473" s="43"/>
      <c r="H473" s="3">
        <f>IF(ISNUMBER(FIND("Controle",E473)),LEFT(E473,FIND(" ",E473,10)-1),"")</f>
      </c>
      <c r="I473" s="3">
        <f>IF(LEFT(E473,8)="Controle",I472+1,I472)</f>
        <v>21</v>
      </c>
      <c r="J473" s="12">
        <f>IF(ISNUMBER(FIND("Controle",H473)),MATCH(H473,Controle!B:B,0),"")</f>
      </c>
      <c r="K473" s="7">
        <f>IF(B472="Leg",A473,K472)</f>
        <v>700.8</v>
      </c>
      <c r="L473" s="7">
        <f>E473</f>
        <v>0</v>
      </c>
    </row>
    <row r="474" spans="1:12" ht="16.5">
      <c r="A474" s="50" t="str">
        <f>INDEX(Controle!H:H,Cue!J472+1)&amp;" "</f>
        <v>475 Main St., Virginville, PA </v>
      </c>
      <c r="B474" s="51"/>
      <c r="C474" s="51"/>
      <c r="D474" s="51"/>
      <c r="E474" s="52"/>
      <c r="F474" s="30"/>
      <c r="G474" s="43"/>
      <c r="H474" s="3">
        <f>IF(ISNUMBER(FIND("Controle",E474)),LEFT(E474,FIND(" ",E474,10)-1),"")</f>
      </c>
      <c r="I474" s="3">
        <f>IF(LEFT(E474,8)="Controle",I473+1,I473)</f>
        <v>21</v>
      </c>
      <c r="J474" s="12">
        <f>IF(ISNUMBER(FIND("Controle",H474)),MATCH(H474,Controle!B:B,0),"")</f>
      </c>
      <c r="K474" s="7">
        <f>IF(B473="Leg",A474,K473)</f>
        <v>700.8</v>
      </c>
      <c r="L474" s="7">
        <f>E474</f>
        <v>0</v>
      </c>
    </row>
    <row r="475" spans="1:13" ht="17.25" thickBot="1">
      <c r="A475" s="47" t="str">
        <f>INDEX(Controle!H:H,Cue!J472+2)&amp;" "</f>
        <v>close: Not Timed (on pace:  08/11 20:21) </v>
      </c>
      <c r="B475" s="48"/>
      <c r="C475" s="48"/>
      <c r="D475" s="48"/>
      <c r="E475" s="49"/>
      <c r="F475" s="31"/>
      <c r="G475" s="44"/>
      <c r="H475" s="3">
        <f>IF(ISNUMBER(FIND("Controle",E475)),LEFT(E475,FIND(" ",E475,10)-1),"")</f>
      </c>
      <c r="I475" s="3">
        <f>IF(LEFT(E475,8)="Controle",I474+1,I474)</f>
        <v>21</v>
      </c>
      <c r="J475" s="12">
        <f>IF(ISNUMBER(FIND("Controle",H475)),MATCH(H475,Controle!B:B,0),"")</f>
      </c>
      <c r="K475" s="7">
        <f>IF(B474="Leg",A475,K474)</f>
        <v>700.8</v>
      </c>
      <c r="L475" s="7">
        <f>E475</f>
        <v>0</v>
      </c>
      <c r="M475" s="8"/>
    </row>
    <row r="476" spans="1:13" ht="33">
      <c r="A476" s="9">
        <f>Compilation!E394</f>
        <v>733</v>
      </c>
      <c r="B476" s="9">
        <f t="shared" si="40"/>
        <v>0</v>
      </c>
      <c r="C476" s="9">
        <f>A476-A472</f>
        <v>0</v>
      </c>
      <c r="D476" s="10" t="str">
        <f>TRIM(Compilation!F394)</f>
        <v>Turn</v>
      </c>
      <c r="E476" s="11" t="str">
        <f>Compilation!I394</f>
        <v>Leave parking lot turning right on Crystal Cave Rd</v>
      </c>
      <c r="F476" s="32"/>
      <c r="G476" s="45">
        <f>Compilation!J394</f>
      </c>
      <c r="H476" s="3">
        <f t="shared" si="42"/>
      </c>
      <c r="I476" s="3">
        <f>IF(LEFT(E476,8)="Controle",I472+1,I472)</f>
        <v>21</v>
      </c>
      <c r="J476" s="12">
        <f>IF(ISNUMBER(FIND("Controle",H476)),MATCH(H476,Controle!B:B,0),"")</f>
      </c>
      <c r="K476" s="7">
        <f>IF(H472&lt;&gt;"",A476,K472)</f>
        <v>733</v>
      </c>
      <c r="L476" s="7" t="str">
        <f t="shared" si="45"/>
        <v>Leave parking lot turning right on Crystal Cave Rd</v>
      </c>
      <c r="M476" s="13"/>
    </row>
    <row r="477" spans="1:13" ht="33">
      <c r="A477" s="9">
        <f>Compilation!E395</f>
        <v>734.2</v>
      </c>
      <c r="B477" s="9">
        <f t="shared" si="40"/>
        <v>1.2000000000000455</v>
      </c>
      <c r="C477" s="9">
        <f t="shared" si="41"/>
        <v>1.2000000000000455</v>
      </c>
      <c r="D477" s="10" t="str">
        <f>TRIM(Compilation!F395)</f>
        <v>L</v>
      </c>
      <c r="E477" s="11" t="str">
        <f>Compilation!I395</f>
        <v>TRO Crystal Cave Rd / Rt 1012 (Jct Crystal Ridge Rd 1st time)</v>
      </c>
      <c r="F477" s="32"/>
      <c r="G477" s="45">
        <f>Compilation!J395</f>
      </c>
      <c r="H477" s="3">
        <f t="shared" si="42"/>
      </c>
      <c r="I477" s="3">
        <f t="shared" si="43"/>
        <v>21</v>
      </c>
      <c r="J477" s="12">
        <f>IF(ISNUMBER(FIND("Controle",H477)),MATCH(H477,Controle!B:B,0),"")</f>
      </c>
      <c r="K477" s="7">
        <f t="shared" si="44"/>
        <v>733</v>
      </c>
      <c r="L477" s="7" t="str">
        <f t="shared" si="45"/>
        <v>TRO Crystal Cave Rd / Rt 1012 (Jct Crystal Ridge Rd 1st time)</v>
      </c>
      <c r="M477" s="13"/>
    </row>
    <row r="478" spans="1:13" ht="33">
      <c r="A478" s="9">
        <f>Compilation!E396</f>
        <v>737.3</v>
      </c>
      <c r="B478" s="9">
        <f t="shared" si="40"/>
        <v>4.2999999999999545</v>
      </c>
      <c r="C478" s="9">
        <f t="shared" si="41"/>
        <v>3.099999999999909</v>
      </c>
      <c r="D478" s="10" t="str">
        <f>TRIM(Compilation!F396)</f>
        <v>T L</v>
      </c>
      <c r="E478" s="11" t="str">
        <f>Compilation!I396</f>
        <v>TRO Crystal Cave Rd / Rt 1006 (Jct Crystal Ridge Rd 2nd time)</v>
      </c>
      <c r="F478" s="32"/>
      <c r="G478" s="45">
        <f>Compilation!J396</f>
      </c>
      <c r="H478" s="3">
        <f t="shared" si="42"/>
      </c>
      <c r="I478" s="3">
        <f t="shared" si="43"/>
        <v>21</v>
      </c>
      <c r="J478" s="12">
        <f>IF(ISNUMBER(FIND("Controle",H478)),MATCH(H478,Controle!B:B,0),"")</f>
      </c>
      <c r="K478" s="7">
        <f t="shared" si="44"/>
        <v>733</v>
      </c>
      <c r="L478" s="7" t="str">
        <f t="shared" si="45"/>
        <v>TRO Crystal Cave Rd / Rt 1006 (Jct Crystal Ridge Rd 2nd time)</v>
      </c>
      <c r="M478" s="13"/>
    </row>
    <row r="479" spans="1:13" ht="16.5">
      <c r="A479" s="9">
        <f>Compilation!E397</f>
        <v>738</v>
      </c>
      <c r="B479" s="9">
        <f t="shared" si="40"/>
        <v>5</v>
      </c>
      <c r="C479" s="9">
        <f t="shared" si="41"/>
        <v>0.7000000000000455</v>
      </c>
      <c r="D479" s="10" t="str">
        <f>TRIM(Compilation!F397)</f>
        <v>L</v>
      </c>
      <c r="E479" s="11" t="str">
        <f>Compilation!I397</f>
        <v>Sharadin Rd</v>
      </c>
      <c r="F479" s="32"/>
      <c r="G479" s="45">
        <f>Compilation!J397</f>
      </c>
      <c r="H479" s="3">
        <f t="shared" si="42"/>
      </c>
      <c r="I479" s="3">
        <f t="shared" si="43"/>
        <v>21</v>
      </c>
      <c r="J479" s="12">
        <f>IF(ISNUMBER(FIND("Controle",H479)),MATCH(H479,Controle!B:B,0),"")</f>
      </c>
      <c r="K479" s="7">
        <f t="shared" si="44"/>
        <v>733</v>
      </c>
      <c r="L479" s="7" t="str">
        <f t="shared" si="45"/>
        <v>Sharadin Rd</v>
      </c>
      <c r="M479" s="13"/>
    </row>
    <row r="480" spans="1:13" ht="28.5">
      <c r="A480" s="9">
        <f>Compilation!E398</f>
        <v>739.4</v>
      </c>
      <c r="B480" s="9">
        <f t="shared" si="40"/>
        <v>6.399999999999977</v>
      </c>
      <c r="C480" s="9">
        <f t="shared" si="41"/>
        <v>1.3999999999999773</v>
      </c>
      <c r="D480" s="10" t="str">
        <f>TRIM(Compilation!F398)</f>
        <v>X</v>
      </c>
      <c r="E480" s="11" t="str">
        <f>Compilation!I398</f>
        <v>(SS) Kuztown Rd </v>
      </c>
      <c r="F480" s="32"/>
      <c r="G480" s="45" t="str">
        <f>Compilation!J398</f>
        <v>Stores off-course left</v>
      </c>
      <c r="H480" s="3">
        <f t="shared" si="42"/>
      </c>
      <c r="I480" s="3">
        <f t="shared" si="43"/>
        <v>21</v>
      </c>
      <c r="J480" s="12">
        <f>IF(ISNUMBER(FIND("Controle",H480)),MATCH(H480,Controle!B:B,0),"")</f>
      </c>
      <c r="K480" s="7">
        <f t="shared" si="44"/>
        <v>733</v>
      </c>
      <c r="L480" s="7" t="str">
        <f t="shared" si="45"/>
        <v>(SS) Kuztown Rd </v>
      </c>
      <c r="M480" s="13"/>
    </row>
    <row r="481" spans="1:13" ht="16.5">
      <c r="A481" s="9">
        <f>Compilation!E399</f>
        <v>740.5</v>
      </c>
      <c r="B481" s="9">
        <f t="shared" si="40"/>
        <v>7.5</v>
      </c>
      <c r="C481" s="9">
        <f t="shared" si="41"/>
        <v>1.1000000000000227</v>
      </c>
      <c r="D481" s="10" t="str">
        <f>TRIM(Compilation!F399)</f>
        <v>T R</v>
      </c>
      <c r="E481" s="11" t="str">
        <f>Compilation!I399</f>
        <v>Baldy Rd</v>
      </c>
      <c r="F481" s="32"/>
      <c r="G481" s="45">
        <f>Compilation!J399</f>
      </c>
      <c r="H481" s="3">
        <f t="shared" si="42"/>
      </c>
      <c r="I481" s="3">
        <f t="shared" si="43"/>
        <v>21</v>
      </c>
      <c r="J481" s="12">
        <f>IF(ISNUMBER(FIND("Controle",H481)),MATCH(H481,Controle!B:B,0),"")</f>
      </c>
      <c r="K481" s="7">
        <f t="shared" si="44"/>
        <v>733</v>
      </c>
      <c r="L481" s="7" t="str">
        <f t="shared" si="45"/>
        <v>Baldy Rd</v>
      </c>
      <c r="M481" s="13"/>
    </row>
    <row r="482" spans="1:13" ht="16.5">
      <c r="A482" s="9">
        <f>Compilation!E400</f>
        <v>740.9</v>
      </c>
      <c r="B482" s="9">
        <f t="shared" si="40"/>
        <v>7.899999999999977</v>
      </c>
      <c r="C482" s="9">
        <f t="shared" si="41"/>
        <v>0.39999999999997726</v>
      </c>
      <c r="D482" s="10" t="str">
        <f>TRIM(Compilation!F400)</f>
        <v>1st L</v>
      </c>
      <c r="E482" s="11" t="str">
        <f>Compilation!I400</f>
        <v>TRO Baldy Rd (Jct Short Ln)</v>
      </c>
      <c r="F482" s="32"/>
      <c r="G482" s="45">
        <f>Compilation!J400</f>
      </c>
      <c r="H482" s="3">
        <f t="shared" si="42"/>
      </c>
      <c r="I482" s="3">
        <f t="shared" si="43"/>
        <v>21</v>
      </c>
      <c r="J482" s="12">
        <f>IF(ISNUMBER(FIND("Controle",H482)),MATCH(H482,Controle!B:B,0),"")</f>
      </c>
      <c r="K482" s="7">
        <f t="shared" si="44"/>
        <v>733</v>
      </c>
      <c r="L482" s="7" t="str">
        <f t="shared" si="45"/>
        <v>TRO Baldy Rd (Jct Short Ln)</v>
      </c>
      <c r="M482" s="13"/>
    </row>
    <row r="483" spans="1:13" ht="16.5">
      <c r="A483" s="9">
        <f>Compilation!E401</f>
        <v>741.5</v>
      </c>
      <c r="B483" s="9">
        <f t="shared" si="40"/>
        <v>8.5</v>
      </c>
      <c r="C483" s="9">
        <f t="shared" si="41"/>
        <v>0.6000000000000227</v>
      </c>
      <c r="D483" s="10" t="str">
        <f>TRIM(Compilation!F401)</f>
        <v>T L</v>
      </c>
      <c r="E483" s="11" t="str">
        <f>Compilation!I401</f>
        <v>Rt 1010 Rd (Caution: Traffic)</v>
      </c>
      <c r="F483" s="32"/>
      <c r="G483" s="45">
        <f>Compilation!J401</f>
      </c>
      <c r="H483" s="3">
        <f t="shared" si="42"/>
      </c>
      <c r="I483" s="3">
        <f t="shared" si="43"/>
        <v>21</v>
      </c>
      <c r="J483" s="12">
        <f>IF(ISNUMBER(FIND("Controle",H483)),MATCH(H483,Controle!B:B,0),"")</f>
      </c>
      <c r="K483" s="7">
        <f t="shared" si="44"/>
        <v>733</v>
      </c>
      <c r="L483" s="7" t="str">
        <f t="shared" si="45"/>
        <v>Rt 1010 Rd (Caution: Traffic)</v>
      </c>
      <c r="M483" s="13"/>
    </row>
    <row r="484" spans="1:13" ht="16.5">
      <c r="A484" s="9">
        <f>Compilation!E402</f>
        <v>741.8</v>
      </c>
      <c r="B484" s="9">
        <f t="shared" si="40"/>
        <v>8.799999999999955</v>
      </c>
      <c r="C484" s="9">
        <f t="shared" si="41"/>
        <v>0.2999999999999545</v>
      </c>
      <c r="D484" s="10" t="str">
        <f>TRIM(Compilation!F402)</f>
        <v>2nd R</v>
      </c>
      <c r="E484" s="11" t="str">
        <f>Compilation!I402</f>
        <v>Deka Rd </v>
      </c>
      <c r="F484" s="32"/>
      <c r="G484" s="45" t="str">
        <f>Compilation!J402</f>
        <v>General Store</v>
      </c>
      <c r="H484" s="3">
        <f t="shared" si="42"/>
      </c>
      <c r="I484" s="3">
        <f t="shared" si="43"/>
        <v>21</v>
      </c>
      <c r="J484" s="12">
        <f>IF(ISNUMBER(FIND("Controle",H484)),MATCH(H484,Controle!B:B,0),"")</f>
      </c>
      <c r="K484" s="7">
        <f t="shared" si="44"/>
        <v>733</v>
      </c>
      <c r="L484" s="7" t="str">
        <f t="shared" si="45"/>
        <v>Deka Rd </v>
      </c>
      <c r="M484" s="13"/>
    </row>
    <row r="485" spans="1:13" ht="16.5">
      <c r="A485" s="9">
        <f>Compilation!E403</f>
        <v>742.5</v>
      </c>
      <c r="B485" s="9">
        <f t="shared" si="40"/>
        <v>9.5</v>
      </c>
      <c r="C485" s="9">
        <f t="shared" si="41"/>
        <v>0.7000000000000455</v>
      </c>
      <c r="D485" s="10" t="str">
        <f>TRIM(Compilation!F403)</f>
        <v>1st R</v>
      </c>
      <c r="E485" s="11" t="str">
        <f>Compilation!I403</f>
        <v>Ruth Rd</v>
      </c>
      <c r="F485" s="32"/>
      <c r="G485" s="45">
        <f>Compilation!J403</f>
      </c>
      <c r="H485" s="3">
        <f t="shared" si="42"/>
      </c>
      <c r="I485" s="3">
        <f t="shared" si="43"/>
        <v>21</v>
      </c>
      <c r="J485" s="12">
        <f>IF(ISNUMBER(FIND("Controle",H485)),MATCH(H485,Controle!B:B,0),"")</f>
      </c>
      <c r="K485" s="7">
        <f t="shared" si="44"/>
        <v>733</v>
      </c>
      <c r="L485" s="7" t="str">
        <f t="shared" si="45"/>
        <v>Ruth Rd</v>
      </c>
      <c r="M485" s="13"/>
    </row>
    <row r="486" spans="1:13" ht="16.5">
      <c r="A486" s="9">
        <f>Compilation!E404</f>
        <v>743</v>
      </c>
      <c r="B486" s="9">
        <f t="shared" si="40"/>
        <v>10</v>
      </c>
      <c r="C486" s="9">
        <f t="shared" si="41"/>
        <v>0.5</v>
      </c>
      <c r="D486" s="10" t="str">
        <f>TRIM(Compilation!F404)</f>
        <v>X</v>
      </c>
      <c r="E486" s="11" t="str">
        <f>Compilation!I404</f>
        <v>(SS) Joining Rt 1033 / Kutz Rd</v>
      </c>
      <c r="F486" s="32"/>
      <c r="G486" s="45">
        <f>Compilation!J404</f>
      </c>
      <c r="H486" s="3">
        <f t="shared" si="42"/>
      </c>
      <c r="I486" s="3">
        <f t="shared" si="43"/>
        <v>21</v>
      </c>
      <c r="J486" s="12">
        <f>IF(ISNUMBER(FIND("Controle",H486)),MATCH(H486,Controle!B:B,0),"")</f>
      </c>
      <c r="K486" s="7">
        <f t="shared" si="44"/>
        <v>733</v>
      </c>
      <c r="L486" s="7" t="str">
        <f t="shared" si="45"/>
        <v>(SS) Joining Rt 1033 / Kutz Rd</v>
      </c>
      <c r="M486" s="13"/>
    </row>
    <row r="487" spans="1:13" ht="16.5">
      <c r="A487" s="9">
        <f>Compilation!E405</f>
        <v>743.4</v>
      </c>
      <c r="B487" s="9">
        <f t="shared" si="40"/>
        <v>10.399999999999977</v>
      </c>
      <c r="C487" s="9">
        <f t="shared" si="41"/>
        <v>0.39999999999997726</v>
      </c>
      <c r="D487" s="10" t="str">
        <f>TRIM(Compilation!F405)</f>
        <v>BL</v>
      </c>
      <c r="E487" s="11" t="str">
        <f>Compilation!I405</f>
        <v>FMR TRO Kutz</v>
      </c>
      <c r="F487" s="32"/>
      <c r="G487" s="45">
        <f>Compilation!J405</f>
      </c>
      <c r="H487" s="3">
        <f t="shared" si="42"/>
      </c>
      <c r="I487" s="3">
        <f t="shared" si="43"/>
        <v>21</v>
      </c>
      <c r="J487" s="12">
        <f>IF(ISNUMBER(FIND("Controle",H487)),MATCH(H487,Controle!B:B,0),"")</f>
      </c>
      <c r="K487" s="7">
        <f t="shared" si="44"/>
        <v>733</v>
      </c>
      <c r="L487" s="7" t="str">
        <f t="shared" si="45"/>
        <v>FMR TRO Kutz</v>
      </c>
      <c r="M487" s="13"/>
    </row>
    <row r="488" spans="1:13" ht="16.5">
      <c r="A488" s="9">
        <f>Compilation!E406</f>
        <v>743.6</v>
      </c>
      <c r="B488" s="9">
        <f t="shared" si="40"/>
        <v>10.600000000000023</v>
      </c>
      <c r="C488" s="9">
        <f t="shared" si="41"/>
        <v>0.20000000000004547</v>
      </c>
      <c r="D488" s="10" t="str">
        <f>TRIM(Compilation!F406)</f>
        <v>1st BL</v>
      </c>
      <c r="E488" s="11" t="str">
        <f>Compilation!I406</f>
        <v>LMR Clay Valley Rd</v>
      </c>
      <c r="F488" s="32"/>
      <c r="G488" s="45">
        <f>Compilation!J406</f>
      </c>
      <c r="H488" s="3">
        <f t="shared" si="42"/>
      </c>
      <c r="I488" s="3">
        <f t="shared" si="43"/>
        <v>21</v>
      </c>
      <c r="J488" s="12">
        <f>IF(ISNUMBER(FIND("Controle",H488)),MATCH(H488,Controle!B:B,0),"")</f>
      </c>
      <c r="K488" s="7">
        <f t="shared" si="44"/>
        <v>733</v>
      </c>
      <c r="L488" s="7" t="str">
        <f t="shared" si="45"/>
        <v>LMR Clay Valley Rd</v>
      </c>
      <c r="M488" s="13"/>
    </row>
    <row r="489" spans="1:13" ht="16.5">
      <c r="A489" s="9">
        <f>Compilation!E407</f>
        <v>744.5</v>
      </c>
      <c r="B489" s="9">
        <f t="shared" si="40"/>
        <v>11.5</v>
      </c>
      <c r="C489" s="9">
        <f t="shared" si="41"/>
        <v>0.8999999999999773</v>
      </c>
      <c r="D489" s="10" t="str">
        <f>TRIM(Compilation!F407)</f>
        <v>T R</v>
      </c>
      <c r="E489" s="11" t="str">
        <f>Compilation!I407</f>
        <v>Forgedale Rd</v>
      </c>
      <c r="F489" s="32"/>
      <c r="G489" s="45">
        <f>Compilation!J407</f>
      </c>
      <c r="H489" s="3">
        <f t="shared" si="42"/>
      </c>
      <c r="I489" s="3">
        <f t="shared" si="43"/>
        <v>21</v>
      </c>
      <c r="J489" s="12">
        <f>IF(ISNUMBER(FIND("Controle",H489)),MATCH(H489,Controle!B:B,0),"")</f>
      </c>
      <c r="K489" s="7">
        <f t="shared" si="44"/>
        <v>733</v>
      </c>
      <c r="L489" s="7" t="str">
        <f t="shared" si="45"/>
        <v>Forgedale Rd</v>
      </c>
      <c r="M489" s="13"/>
    </row>
    <row r="490" spans="1:13" ht="33">
      <c r="A490" s="9">
        <f>Compilation!E408</f>
        <v>745.1</v>
      </c>
      <c r="B490" s="9">
        <f t="shared" si="40"/>
        <v>12.100000000000023</v>
      </c>
      <c r="C490" s="9">
        <f t="shared" si="41"/>
        <v>0.6000000000000227</v>
      </c>
      <c r="D490" s="10" t="str">
        <f>TRIM(Compilation!F408)</f>
        <v>X</v>
      </c>
      <c r="E490" s="11" t="str">
        <f>Compilation!I408</f>
        <v>(SS) Pricetown Rd  [Boyers Junction] </v>
      </c>
      <c r="F490" s="32"/>
      <c r="G490" s="45" t="str">
        <f>Compilation!J408</f>
        <v>Store</v>
      </c>
      <c r="H490" s="3">
        <f t="shared" si="42"/>
      </c>
      <c r="I490" s="3">
        <f t="shared" si="43"/>
        <v>21</v>
      </c>
      <c r="J490" s="12">
        <f>IF(ISNUMBER(FIND("Controle",H490)),MATCH(H490,Controle!B:B,0),"")</f>
      </c>
      <c r="K490" s="7">
        <f t="shared" si="44"/>
        <v>733</v>
      </c>
      <c r="L490" s="7" t="str">
        <f t="shared" si="45"/>
        <v>(SS) Pricetown Rd  [Boyers Junction] </v>
      </c>
      <c r="M490" s="13"/>
    </row>
    <row r="491" spans="1:13" ht="33">
      <c r="A491" s="9">
        <f>Compilation!E409</f>
        <v>747.5</v>
      </c>
      <c r="B491" s="9">
        <f t="shared" si="40"/>
        <v>14.5</v>
      </c>
      <c r="C491" s="9">
        <f t="shared" si="41"/>
        <v>2.3999999999999773</v>
      </c>
      <c r="D491" s="10" t="str">
        <f>TRIM(Compilation!F409)</f>
        <v>Pass</v>
      </c>
      <c r="E491" s="11" t="str">
        <f>Compilation!I409</f>
        <v>Water St (on right) now on Hoch Rd</v>
      </c>
      <c r="F491" s="32"/>
      <c r="G491" s="45">
        <f>Compilation!J409</f>
      </c>
      <c r="H491" s="3">
        <f t="shared" si="42"/>
      </c>
      <c r="I491" s="3">
        <f t="shared" si="43"/>
        <v>21</v>
      </c>
      <c r="J491" s="12">
        <f>IF(ISNUMBER(FIND("Controle",H491)),MATCH(H491,Controle!B:B,0),"")</f>
      </c>
      <c r="K491" s="7">
        <f t="shared" si="44"/>
        <v>733</v>
      </c>
      <c r="L491" s="7" t="str">
        <f t="shared" si="45"/>
        <v>Water St (on right) now on Hoch Rd</v>
      </c>
      <c r="M491" s="13"/>
    </row>
    <row r="492" spans="1:13" ht="33">
      <c r="A492" s="9">
        <f>Compilation!E410</f>
        <v>749.5</v>
      </c>
      <c r="B492" s="9">
        <f t="shared" si="40"/>
        <v>16.5</v>
      </c>
      <c r="C492" s="9">
        <f t="shared" si="41"/>
        <v>2</v>
      </c>
      <c r="D492" s="10" t="str">
        <f>TRIM(Compilation!F410)</f>
        <v>L</v>
      </c>
      <c r="E492" s="11" t="str">
        <f>Compilation!I410</f>
        <v>Cleaver Rd (just before end of road at Rt 73 T)</v>
      </c>
      <c r="F492" s="32"/>
      <c r="G492" s="45">
        <f>Compilation!J410</f>
      </c>
      <c r="H492" s="3">
        <f t="shared" si="42"/>
      </c>
      <c r="I492" s="3">
        <f t="shared" si="43"/>
        <v>21</v>
      </c>
      <c r="J492" s="12">
        <f>IF(ISNUMBER(FIND("Controle",H492)),MATCH(H492,Controle!B:B,0),"")</f>
      </c>
      <c r="K492" s="7">
        <f t="shared" si="44"/>
        <v>733</v>
      </c>
      <c r="L492" s="7" t="str">
        <f t="shared" si="45"/>
        <v>Cleaver Rd (just before end of road at Rt 73 T)</v>
      </c>
      <c r="M492" s="13"/>
    </row>
    <row r="493" spans="1:13" ht="16.5">
      <c r="A493" s="9">
        <f>Compilation!E411</f>
        <v>750.3</v>
      </c>
      <c r="B493" s="9">
        <f t="shared" si="40"/>
        <v>17.299999999999955</v>
      </c>
      <c r="C493" s="9">
        <f t="shared" si="41"/>
        <v>0.7999999999999545</v>
      </c>
      <c r="D493" s="10" t="str">
        <f>TRIM(Compilation!F411)</f>
        <v>T L</v>
      </c>
      <c r="E493" s="11" t="str">
        <f>Compilation!I411</f>
        <v>Oysterdale Rd</v>
      </c>
      <c r="F493" s="32"/>
      <c r="G493" s="45">
        <f>Compilation!J411</f>
      </c>
      <c r="H493" s="3">
        <f t="shared" si="42"/>
      </c>
      <c r="I493" s="3">
        <f t="shared" si="43"/>
        <v>21</v>
      </c>
      <c r="J493" s="12">
        <f>IF(ISNUMBER(FIND("Controle",H493)),MATCH(H493,Controle!B:B,0),"")</f>
      </c>
      <c r="K493" s="7">
        <f t="shared" si="44"/>
        <v>733</v>
      </c>
      <c r="L493" s="7" t="str">
        <f t="shared" si="45"/>
        <v>Oysterdale Rd</v>
      </c>
      <c r="M493" s="13"/>
    </row>
    <row r="494" spans="1:13" ht="33">
      <c r="A494" s="9">
        <f>Compilation!E412</f>
        <v>751</v>
      </c>
      <c r="B494" s="9">
        <f t="shared" si="40"/>
        <v>18</v>
      </c>
      <c r="C494" s="9">
        <f t="shared" si="41"/>
        <v>0.7000000000000455</v>
      </c>
      <c r="D494" s="10" t="str">
        <f>TRIM(Compilation!F412)</f>
        <v>BR</v>
      </c>
      <c r="E494" s="11" t="str">
        <f>Compilation!I412</f>
        <v>TRO Oysterdale Rd (Jct. Mine Rd)</v>
      </c>
      <c r="F494" s="32"/>
      <c r="G494" s="45">
        <f>Compilation!J412</f>
      </c>
      <c r="H494" s="3">
        <f t="shared" si="42"/>
      </c>
      <c r="I494" s="3">
        <f t="shared" si="43"/>
        <v>21</v>
      </c>
      <c r="J494" s="12">
        <f>IF(ISNUMBER(FIND("Controle",H494)),MATCH(H494,Controle!B:B,0),"")</f>
      </c>
      <c r="K494" s="7">
        <f t="shared" si="44"/>
        <v>733</v>
      </c>
      <c r="L494" s="7" t="str">
        <f t="shared" si="45"/>
        <v>TRO Oysterdale Rd (Jct. Mine Rd)</v>
      </c>
      <c r="M494" s="13"/>
    </row>
    <row r="495" spans="1:13" ht="16.5">
      <c r="A495" s="9">
        <f>Compilation!E413</f>
        <v>751.1</v>
      </c>
      <c r="B495" s="9">
        <f t="shared" si="40"/>
        <v>18.100000000000023</v>
      </c>
      <c r="C495" s="9">
        <f t="shared" si="41"/>
        <v>0.10000000000002274</v>
      </c>
      <c r="D495" s="10" t="str">
        <f>TRIM(Compilation!F413)</f>
        <v>R</v>
      </c>
      <c r="E495" s="11" t="str">
        <f>Compilation!I413</f>
        <v>(SS) Hill Church Rd</v>
      </c>
      <c r="F495" s="32"/>
      <c r="G495" s="45">
        <f>Compilation!J413</f>
      </c>
      <c r="H495" s="3">
        <f t="shared" si="42"/>
      </c>
      <c r="I495" s="3">
        <f t="shared" si="43"/>
        <v>21</v>
      </c>
      <c r="J495" s="12">
        <f>IF(ISNUMBER(FIND("Controle",H495)),MATCH(H495,Controle!B:B,0),"")</f>
      </c>
      <c r="K495" s="7">
        <f t="shared" si="44"/>
        <v>733</v>
      </c>
      <c r="L495" s="7" t="str">
        <f t="shared" si="45"/>
        <v>(SS) Hill Church Rd</v>
      </c>
      <c r="M495" s="13"/>
    </row>
    <row r="496" spans="1:13" ht="33">
      <c r="A496" s="9">
        <f>Compilation!E414</f>
        <v>753.9</v>
      </c>
      <c r="B496" s="9">
        <f t="shared" si="40"/>
        <v>20.899999999999977</v>
      </c>
      <c r="C496" s="9">
        <f t="shared" si="41"/>
        <v>2.7999999999999545</v>
      </c>
      <c r="D496" s="10" t="str">
        <f>TRIM(Compilation!F414)</f>
        <v>TL + QR</v>
      </c>
      <c r="E496" s="11" t="str">
        <f>Compilation!I414</f>
        <v>TRO Hill Church Rd (Crossing Mountain Mary Rd)</v>
      </c>
      <c r="F496" s="32"/>
      <c r="G496" s="45">
        <f>Compilation!J414</f>
      </c>
      <c r="H496" s="3">
        <f t="shared" si="42"/>
      </c>
      <c r="I496" s="3">
        <f t="shared" si="43"/>
        <v>21</v>
      </c>
      <c r="J496" s="12">
        <f>IF(ISNUMBER(FIND("Controle",H496)),MATCH(H496,Controle!B:B,0),"")</f>
      </c>
      <c r="K496" s="7">
        <f t="shared" si="44"/>
        <v>733</v>
      </c>
      <c r="L496" s="7" t="str">
        <f t="shared" si="45"/>
        <v>TRO Hill Church Rd (Crossing Mountain Mary Rd)</v>
      </c>
      <c r="M496" s="13"/>
    </row>
    <row r="497" spans="1:13" ht="33">
      <c r="A497" s="9">
        <f>Compilation!E415</f>
        <v>754</v>
      </c>
      <c r="B497" s="9">
        <f t="shared" si="40"/>
        <v>21</v>
      </c>
      <c r="C497" s="9">
        <f t="shared" si="41"/>
        <v>0.10000000000002274</v>
      </c>
      <c r="D497" s="10" t="str">
        <f>TRIM(Compilation!F415)</f>
        <v>QR</v>
      </c>
      <c r="E497" s="11" t="str">
        <f>Compilation!I415</f>
        <v>TRO Hill Church Rd (Jct. Landis Store Rd)</v>
      </c>
      <c r="F497" s="32"/>
      <c r="G497" s="45">
        <f>Compilation!J415</f>
      </c>
      <c r="H497" s="3">
        <f t="shared" si="42"/>
      </c>
      <c r="I497" s="3">
        <f t="shared" si="43"/>
        <v>21</v>
      </c>
      <c r="J497" s="12">
        <f>IF(ISNUMBER(FIND("Controle",H497)),MATCH(H497,Controle!B:B,0),"")</f>
      </c>
      <c r="K497" s="7">
        <f t="shared" si="44"/>
        <v>733</v>
      </c>
      <c r="L497" s="7" t="str">
        <f t="shared" si="45"/>
        <v>TRO Hill Church Rd (Jct. Landis Store Rd)</v>
      </c>
      <c r="M497" s="13"/>
    </row>
    <row r="498" spans="1:13" ht="16.5">
      <c r="A498" s="9">
        <f>Compilation!E416</f>
        <v>756.5</v>
      </c>
      <c r="B498" s="9">
        <f t="shared" si="40"/>
        <v>23.5</v>
      </c>
      <c r="C498" s="9">
        <f t="shared" si="41"/>
        <v>2.5</v>
      </c>
      <c r="D498" s="10" t="str">
        <f>TRIM(Compilation!F416)</f>
        <v>***L</v>
      </c>
      <c r="E498" s="11" t="str">
        <f>Compilation!I416</f>
        <v>Oberholtzer Rd</v>
      </c>
      <c r="F498" s="32"/>
      <c r="G498" s="45">
        <f>Compilation!J416</f>
      </c>
      <c r="H498" s="3">
        <f t="shared" si="42"/>
      </c>
      <c r="I498" s="3">
        <f t="shared" si="43"/>
        <v>21</v>
      </c>
      <c r="J498" s="12">
        <f>IF(ISNUMBER(FIND("Controle",H498)),MATCH(H498,Controle!B:B,0),"")</f>
      </c>
      <c r="K498" s="7">
        <f t="shared" si="44"/>
        <v>733</v>
      </c>
      <c r="L498" s="7" t="str">
        <f t="shared" si="45"/>
        <v>Oberholtzer Rd</v>
      </c>
      <c r="M498" s="13"/>
    </row>
    <row r="499" spans="1:13" ht="16.5">
      <c r="A499" s="9">
        <f>Compilation!E417</f>
        <v>756.7</v>
      </c>
      <c r="B499" s="9">
        <f t="shared" si="40"/>
        <v>23.700000000000045</v>
      </c>
      <c r="C499" s="9">
        <f t="shared" si="41"/>
        <v>0.20000000000004547</v>
      </c>
      <c r="D499" s="10" t="str">
        <f>TRIM(Compilation!F417)</f>
        <v>T L</v>
      </c>
      <c r="E499" s="11" t="str">
        <f>Compilation!I417</f>
        <v>Old Route 100</v>
      </c>
      <c r="F499" s="32"/>
      <c r="G499" s="45">
        <f>Compilation!J417</f>
      </c>
      <c r="H499" s="3">
        <f t="shared" si="42"/>
      </c>
      <c r="I499" s="3">
        <f t="shared" si="43"/>
        <v>21</v>
      </c>
      <c r="J499" s="12">
        <f>IF(ISNUMBER(FIND("Controle",H499)),MATCH(H499,Controle!B:B,0),"")</f>
      </c>
      <c r="K499" s="7">
        <f t="shared" si="44"/>
        <v>733</v>
      </c>
      <c r="L499" s="7" t="str">
        <f t="shared" si="45"/>
        <v>Old Route 100</v>
      </c>
      <c r="M499" s="13"/>
    </row>
    <row r="500" spans="1:13" ht="16.5">
      <c r="A500" s="9">
        <f>Compilation!E418</f>
        <v>758.9</v>
      </c>
      <c r="B500" s="9">
        <f t="shared" si="40"/>
        <v>25.899999999999977</v>
      </c>
      <c r="C500" s="9">
        <f t="shared" si="41"/>
        <v>2.199999999999932</v>
      </c>
      <c r="D500" s="10" t="str">
        <f>TRIM(Compilation!F418)</f>
        <v>***R</v>
      </c>
      <c r="E500" s="11" t="str">
        <f>Compilation!I418</f>
        <v>Dairy Ln</v>
      </c>
      <c r="F500" s="32"/>
      <c r="G500" s="45">
        <f>Compilation!J418</f>
      </c>
      <c r="H500" s="3">
        <f t="shared" si="42"/>
      </c>
      <c r="I500" s="3">
        <f t="shared" si="43"/>
        <v>21</v>
      </c>
      <c r="J500" s="12">
        <f>IF(ISNUMBER(FIND("Controle",H500)),MATCH(H500,Controle!B:B,0),"")</f>
      </c>
      <c r="K500" s="7">
        <f t="shared" si="44"/>
        <v>733</v>
      </c>
      <c r="L500" s="7" t="str">
        <f t="shared" si="45"/>
        <v>Dairy Ln</v>
      </c>
      <c r="M500" s="13"/>
    </row>
    <row r="501" spans="1:13" ht="16.5">
      <c r="A501" s="9">
        <f>Compilation!E419</f>
        <v>759.2</v>
      </c>
      <c r="B501" s="9">
        <f aca="true" t="shared" si="46" ref="B501:B506">A501-K501</f>
        <v>26.200000000000045</v>
      </c>
      <c r="C501" s="9">
        <f aca="true" t="shared" si="47" ref="C501:C506">A501-A500</f>
        <v>0.3000000000000682</v>
      </c>
      <c r="D501" s="10" t="str">
        <f>TRIM(Compilation!F419)</f>
        <v>T R</v>
      </c>
      <c r="E501" s="11" t="str">
        <f>Compilation!I419</f>
        <v>Rt 100 </v>
      </c>
      <c r="F501" s="32"/>
      <c r="G501" s="45" t="str">
        <f>Compilation!J419</f>
        <v>Ice Cream</v>
      </c>
      <c r="H501" s="3">
        <f aca="true" t="shared" si="48" ref="H501:H506">IF(ISNUMBER(FIND("Controle",E501)),"Controle "&amp;I501,"")</f>
      </c>
      <c r="I501" s="3">
        <f aca="true" t="shared" si="49" ref="I501:I506">IF(LEFT(E501,8)="Controle",I500+1,I500)</f>
        <v>21</v>
      </c>
      <c r="J501" s="12">
        <f>IF(ISNUMBER(FIND("Controle",H501)),MATCH(H501,Controle!B:B,0),"")</f>
      </c>
      <c r="K501" s="7">
        <f aca="true" t="shared" si="50" ref="K501:K506">IF(H500&lt;&gt;"",A501,K500)</f>
        <v>733</v>
      </c>
      <c r="L501" s="7" t="str">
        <f aca="true" t="shared" si="51" ref="L501:L506">E501</f>
        <v>Rt 100 </v>
      </c>
      <c r="M501" s="13"/>
    </row>
    <row r="502" spans="1:13" ht="16.5">
      <c r="A502" s="9">
        <f>Compilation!E420</f>
        <v>759.2</v>
      </c>
      <c r="B502" s="9">
        <f t="shared" si="46"/>
        <v>26.200000000000045</v>
      </c>
      <c r="C502" s="9">
        <f t="shared" si="47"/>
        <v>0</v>
      </c>
      <c r="D502" s="10" t="str">
        <f>TRIM(Compilation!F420)</f>
        <v>QL</v>
      </c>
      <c r="E502" s="11" t="str">
        <f>Compilation!I420</f>
        <v>(TFL) Niantic Rd</v>
      </c>
      <c r="F502" s="32"/>
      <c r="G502" s="45">
        <f>Compilation!J420</f>
      </c>
      <c r="H502" s="3">
        <f t="shared" si="48"/>
      </c>
      <c r="I502" s="3">
        <f t="shared" si="49"/>
        <v>21</v>
      </c>
      <c r="J502" s="12">
        <f>IF(ISNUMBER(FIND("Controle",H502)),MATCH(H502,Controle!B:B,0),"")</f>
      </c>
      <c r="K502" s="7">
        <f t="shared" si="50"/>
        <v>733</v>
      </c>
      <c r="L502" s="7" t="str">
        <f t="shared" si="51"/>
        <v>(TFL) Niantic Rd</v>
      </c>
      <c r="M502" s="13"/>
    </row>
    <row r="503" spans="1:13" ht="16.5">
      <c r="A503" s="9">
        <f>Compilation!E421</f>
        <v>761.9</v>
      </c>
      <c r="B503" s="9">
        <f t="shared" si="46"/>
        <v>28.899999999999977</v>
      </c>
      <c r="C503" s="9">
        <f t="shared" si="47"/>
        <v>2.699999999999932</v>
      </c>
      <c r="D503" s="10" t="str">
        <f>TRIM(Compilation!F421)</f>
        <v>L</v>
      </c>
      <c r="E503" s="11" t="str">
        <f>Compilation!I421</f>
        <v>Hill Rd</v>
      </c>
      <c r="F503" s="32"/>
      <c r="G503" s="45">
        <f>Compilation!J421</f>
      </c>
      <c r="H503" s="3">
        <f t="shared" si="48"/>
      </c>
      <c r="I503" s="3">
        <f t="shared" si="49"/>
        <v>21</v>
      </c>
      <c r="J503" s="12">
        <f>IF(ISNUMBER(FIND("Controle",H503)),MATCH(H503,Controle!B:B,0),"")</f>
      </c>
      <c r="K503" s="7">
        <f t="shared" si="50"/>
        <v>733</v>
      </c>
      <c r="L503" s="7" t="str">
        <f t="shared" si="51"/>
        <v>Hill Rd</v>
      </c>
      <c r="M503" s="13"/>
    </row>
    <row r="504" spans="1:13" ht="16.5">
      <c r="A504" s="9">
        <f>Compilation!E422</f>
        <v>763.5</v>
      </c>
      <c r="B504" s="9">
        <f t="shared" si="46"/>
        <v>30.5</v>
      </c>
      <c r="C504" s="9">
        <f t="shared" si="47"/>
        <v>1.6000000000000227</v>
      </c>
      <c r="D504" s="10" t="str">
        <f>TRIM(Compilation!F422)</f>
        <v>L</v>
      </c>
      <c r="E504" s="11" t="str">
        <f>Compilation!I422</f>
        <v>(TFL) Rt 663</v>
      </c>
      <c r="F504" s="32"/>
      <c r="G504" s="45">
        <f>Compilation!J422</f>
      </c>
      <c r="H504" s="3">
        <f t="shared" si="48"/>
      </c>
      <c r="I504" s="3">
        <f t="shared" si="49"/>
        <v>21</v>
      </c>
      <c r="J504" s="12">
        <f>IF(ISNUMBER(FIND("Controle",H504)),MATCH(H504,Controle!B:B,0),"")</f>
      </c>
      <c r="K504" s="7">
        <f t="shared" si="50"/>
        <v>733</v>
      </c>
      <c r="L504" s="7" t="str">
        <f t="shared" si="51"/>
        <v>(TFL) Rt 663</v>
      </c>
      <c r="M504" s="13"/>
    </row>
    <row r="505" spans="1:13" ht="33">
      <c r="A505" s="9">
        <f>Compilation!E423</f>
        <v>767</v>
      </c>
      <c r="B505" s="9">
        <f t="shared" si="46"/>
        <v>34</v>
      </c>
      <c r="C505" s="9">
        <f t="shared" si="47"/>
        <v>3.5</v>
      </c>
      <c r="D505" s="10" t="str">
        <f>TRIM(Compilation!F423)</f>
        <v>X</v>
      </c>
      <c r="E505" s="11" t="str">
        <f>Compilation!I423</f>
        <v>(TFL) Rt 29 TRO Rt 663 / Pottstown Rd [Pennsburg] </v>
      </c>
      <c r="F505" s="32"/>
      <c r="G505" s="45" t="str">
        <f>Compilation!J423</f>
        <v>Stores</v>
      </c>
      <c r="H505" s="3">
        <f t="shared" si="48"/>
      </c>
      <c r="I505" s="3">
        <f t="shared" si="49"/>
        <v>21</v>
      </c>
      <c r="J505" s="12">
        <f>IF(ISNUMBER(FIND("Controle",H505)),MATCH(H505,Controle!B:B,0),"")</f>
      </c>
      <c r="K505" s="7">
        <f t="shared" si="50"/>
        <v>733</v>
      </c>
      <c r="L505" s="7" t="str">
        <f t="shared" si="51"/>
        <v>(TFL) Rt 29 TRO Rt 663 / Pottstown Rd [Pennsburg] </v>
      </c>
      <c r="M505" s="13"/>
    </row>
    <row r="506" spans="1:13" ht="16.5">
      <c r="A506" s="9">
        <f>Compilation!E424</f>
        <v>771.8</v>
      </c>
      <c r="B506" s="9">
        <f t="shared" si="46"/>
        <v>38.799999999999955</v>
      </c>
      <c r="C506" s="9">
        <f t="shared" si="47"/>
        <v>4.7999999999999545</v>
      </c>
      <c r="D506" s="10" t="str">
        <f>TRIM(Compilation!F424)</f>
        <v>X</v>
      </c>
      <c r="E506" s="11" t="str">
        <f>Compilation!I424</f>
        <v>Rt 476 / PA Tpk (Almost there!)</v>
      </c>
      <c r="F506" s="32"/>
      <c r="G506" s="45">
        <f>Compilation!J424</f>
      </c>
      <c r="H506" s="3">
        <f t="shared" si="48"/>
      </c>
      <c r="I506" s="3">
        <f t="shared" si="49"/>
        <v>21</v>
      </c>
      <c r="J506" s="12">
        <f>IF(ISNUMBER(FIND("Controle",H506)),MATCH(H506,Controle!B:B,0),"")</f>
      </c>
      <c r="K506" s="7">
        <f t="shared" si="50"/>
        <v>733</v>
      </c>
      <c r="L506" s="7" t="str">
        <f t="shared" si="51"/>
        <v>Rt 476 / PA Tpk (Almost there!)</v>
      </c>
      <c r="M506" s="13"/>
    </row>
    <row r="507" spans="1:13" ht="33.75" thickBot="1">
      <c r="A507" s="9">
        <f>Compilation!E425</f>
        <v>772.2</v>
      </c>
      <c r="B507" s="9">
        <f>A507-K507</f>
        <v>39.200000000000045</v>
      </c>
      <c r="C507" s="9">
        <f>A507-A506</f>
        <v>0.40000000000009095</v>
      </c>
      <c r="D507" s="10" t="str">
        <f>TRIM(Compilation!F425)</f>
        <v>FINISH</v>
      </c>
      <c r="E507" s="11" t="str">
        <f>Compilation!I425</f>
        <v>Controle Hampton Inn (on right) CONGRATULATIONS!</v>
      </c>
      <c r="F507" s="32"/>
      <c r="G507" s="45">
        <f>Compilation!J425</f>
      </c>
      <c r="H507" s="3" t="str">
        <f>IF(ISNUMBER(FIND("Controle",E507)),"Controle "&amp;I507,"")</f>
        <v>Controle 22</v>
      </c>
      <c r="I507" s="3">
        <f>IF(LEFT(E507,8)="Controle",I506+1,I506)</f>
        <v>22</v>
      </c>
      <c r="J507" s="12">
        <f>IF(ISNUMBER(FIND("Controle",H507)),MATCH(H507,Controle!B:B,0),"")</f>
        <v>66</v>
      </c>
      <c r="K507" s="7">
        <f>IF(H506&lt;&gt;"",A507,K506)</f>
        <v>733</v>
      </c>
      <c r="L507" s="7" t="str">
        <f>E507</f>
        <v>Controle Hampton Inn (on right) CONGRATULATIONS!</v>
      </c>
      <c r="M507" s="13"/>
    </row>
    <row r="508" spans="1:12" ht="16.5">
      <c r="A508" s="53" t="str">
        <f>INDEX(Controle!H:H,Cue!J507)&amp;" "</f>
        <v>Controle 22 Hampton Inn Quakertown (215) 536-7779 </v>
      </c>
      <c r="B508" s="54"/>
      <c r="C508" s="54"/>
      <c r="D508" s="54"/>
      <c r="E508" s="55"/>
      <c r="F508" s="30"/>
      <c r="G508" s="43"/>
      <c r="H508" s="3">
        <f>IF(ISNUMBER(FIND("Controle",E508)),LEFT(E508,FIND(" ",E508,10)-1),"")</f>
      </c>
      <c r="I508" s="3">
        <f>IF(LEFT(E508,8)="Controle",I507+1,I507)</f>
        <v>22</v>
      </c>
      <c r="J508" s="12">
        <f>IF(ISNUMBER(FIND("Controle",H508)),MATCH(H508,Controle!B:B,0),"")</f>
      </c>
      <c r="K508" s="7">
        <f>IF(B507="Leg",A508,K507)</f>
        <v>733</v>
      </c>
      <c r="L508" s="7">
        <f>E508</f>
        <v>0</v>
      </c>
    </row>
    <row r="509" spans="1:12" ht="16.5">
      <c r="A509" s="50" t="str">
        <f>INDEX(Controle!H:H,Cue!J507+1)&amp;" "</f>
        <v>1915 John Fries Hwy / Rt 663, Quakertown, PA </v>
      </c>
      <c r="B509" s="51"/>
      <c r="C509" s="51"/>
      <c r="D509" s="51"/>
      <c r="E509" s="52"/>
      <c r="F509" s="30"/>
      <c r="G509" s="43"/>
      <c r="H509" s="3">
        <f>IF(ISNUMBER(FIND("Controle",E509)),LEFT(E509,FIND(" ",E509,10)-1),"")</f>
      </c>
      <c r="I509" s="3">
        <f>IF(LEFT(E509,8)="Controle",I508+1,I508)</f>
        <v>22</v>
      </c>
      <c r="J509" s="12">
        <f>IF(ISNUMBER(FIND("Controle",H509)),MATCH(H509,Controle!B:B,0),"")</f>
      </c>
      <c r="K509" s="7">
        <f>IF(B508="Leg",A509,K508)</f>
        <v>733</v>
      </c>
      <c r="L509" s="7">
        <f>E509</f>
        <v>0</v>
      </c>
    </row>
    <row r="510" spans="1:13" ht="17.25" thickBot="1">
      <c r="A510" s="47" t="str">
        <f>INDEX(Controle!H:H,Cue!J507+2)&amp;" "</f>
        <v>open: 08/09 22:19  close: 08/12 01:00 </v>
      </c>
      <c r="B510" s="48"/>
      <c r="C510" s="48"/>
      <c r="D510" s="48"/>
      <c r="E510" s="49"/>
      <c r="F510" s="31"/>
      <c r="G510" s="44"/>
      <c r="H510" s="3">
        <f>IF(ISNUMBER(FIND("Controle",E510)),LEFT(E510,FIND(" ",E510,10)-1),"")</f>
      </c>
      <c r="I510" s="3">
        <f>IF(LEFT(E510,8)="Controle",I509+1,I509)</f>
        <v>22</v>
      </c>
      <c r="J510" s="12">
        <f>IF(ISNUMBER(FIND("Controle",H510)),MATCH(H510,Controle!B:B,0),"")</f>
      </c>
      <c r="K510" s="7">
        <f>IF(B509="Leg",A510,K509)</f>
        <v>733</v>
      </c>
      <c r="L510" s="7">
        <f>E510</f>
        <v>0</v>
      </c>
      <c r="M510" s="8"/>
    </row>
  </sheetData>
  <mergeCells count="74">
    <mergeCell ref="A413:E413"/>
    <mergeCell ref="A414:E414"/>
    <mergeCell ref="A440:E440"/>
    <mergeCell ref="A395:E395"/>
    <mergeCell ref="A396:E396"/>
    <mergeCell ref="A397:E397"/>
    <mergeCell ref="A412:E412"/>
    <mergeCell ref="A387:E387"/>
    <mergeCell ref="A385:E385"/>
    <mergeCell ref="A372:E372"/>
    <mergeCell ref="A373:E373"/>
    <mergeCell ref="A374:E374"/>
    <mergeCell ref="A348:E348"/>
    <mergeCell ref="A349:E349"/>
    <mergeCell ref="A350:E350"/>
    <mergeCell ref="A386:E386"/>
    <mergeCell ref="A233:E233"/>
    <mergeCell ref="A328:E328"/>
    <mergeCell ref="A329:E329"/>
    <mergeCell ref="A330:E330"/>
    <mergeCell ref="A138:E138"/>
    <mergeCell ref="A289:E289"/>
    <mergeCell ref="A288:E288"/>
    <mergeCell ref="A214:E214"/>
    <mergeCell ref="A220:E220"/>
    <mergeCell ref="A273:E273"/>
    <mergeCell ref="A253:E253"/>
    <mergeCell ref="A271:E271"/>
    <mergeCell ref="A235:E235"/>
    <mergeCell ref="A222:E222"/>
    <mergeCell ref="A104:E104"/>
    <mergeCell ref="A127:E127"/>
    <mergeCell ref="A105:E105"/>
    <mergeCell ref="A234:E234"/>
    <mergeCell ref="A212:E212"/>
    <mergeCell ref="A213:E213"/>
    <mergeCell ref="A106:E106"/>
    <mergeCell ref="A164:E164"/>
    <mergeCell ref="A165:E165"/>
    <mergeCell ref="A166:E166"/>
    <mergeCell ref="A12:E12"/>
    <mergeCell ref="A55:E55"/>
    <mergeCell ref="A56:E56"/>
    <mergeCell ref="A57:E57"/>
    <mergeCell ref="A21:E21"/>
    <mergeCell ref="A22:E22"/>
    <mergeCell ref="A128:E128"/>
    <mergeCell ref="A129:E129"/>
    <mergeCell ref="A137:E137"/>
    <mergeCell ref="A252:E252"/>
    <mergeCell ref="A139:E139"/>
    <mergeCell ref="A188:E188"/>
    <mergeCell ref="A251:E251"/>
    <mergeCell ref="A189:E189"/>
    <mergeCell ref="A190:E190"/>
    <mergeCell ref="A221:E221"/>
    <mergeCell ref="A272:E272"/>
    <mergeCell ref="A290:E290"/>
    <mergeCell ref="A1:E1"/>
    <mergeCell ref="A3:E3"/>
    <mergeCell ref="A9:E9"/>
    <mergeCell ref="A10:E10"/>
    <mergeCell ref="A2:E2"/>
    <mergeCell ref="A11:E11"/>
    <mergeCell ref="A18:E18"/>
    <mergeCell ref="A20:E20"/>
    <mergeCell ref="A475:E475"/>
    <mergeCell ref="A510:E510"/>
    <mergeCell ref="A441:E441"/>
    <mergeCell ref="A442:E442"/>
    <mergeCell ref="A473:E473"/>
    <mergeCell ref="A474:E474"/>
    <mergeCell ref="A508:E508"/>
    <mergeCell ref="A509:E509"/>
  </mergeCells>
  <printOptions/>
  <pageMargins left="1.17" right="0.25" top="0.38" bottom="0.44" header="0.42" footer="0.2"/>
  <pageSetup fitToHeight="18" horizontalDpi="300" verticalDpi="300" orientation="portrait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6">
      <selection activeCell="A1" sqref="A1:H31"/>
    </sheetView>
  </sheetViews>
  <sheetFormatPr defaultColWidth="8.88671875" defaultRowHeight="15"/>
  <cols>
    <col min="1" max="1" width="28.6640625" style="0" customWidth="1"/>
    <col min="2" max="2" width="9.88671875" style="0" customWidth="1"/>
    <col min="3" max="9" width="8.6640625" style="0" customWidth="1"/>
    <col min="10" max="10" width="4.10546875" style="0" customWidth="1"/>
    <col min="11" max="16384" width="8.6640625" style="0" customWidth="1"/>
  </cols>
  <sheetData>
    <row r="1" spans="1:14" ht="15">
      <c r="A1" t="s">
        <v>1633</v>
      </c>
      <c r="B1" t="s">
        <v>1634</v>
      </c>
      <c r="C1" t="s">
        <v>1635</v>
      </c>
      <c r="D1" t="s">
        <v>1636</v>
      </c>
      <c r="E1" t="s">
        <v>1637</v>
      </c>
      <c r="F1" t="s">
        <v>1638</v>
      </c>
      <c r="G1" t="s">
        <v>1639</v>
      </c>
      <c r="H1" t="s">
        <v>1640</v>
      </c>
      <c r="K1">
        <f>INDIRECT("L"&amp;COUNTA(K2:K100)+1)</f>
        <v>885.4100000000001</v>
      </c>
      <c r="L1">
        <f>Seg7!K1</f>
        <v>860.4300000000001</v>
      </c>
      <c r="M1" t="s">
        <v>2470</v>
      </c>
      <c r="N1" t="s">
        <v>1140</v>
      </c>
    </row>
    <row r="2" spans="1:13" ht="15">
      <c r="A2" t="s">
        <v>1141</v>
      </c>
      <c r="B2" t="s">
        <v>2494</v>
      </c>
      <c r="C2" t="s">
        <v>1142</v>
      </c>
      <c r="D2" t="s">
        <v>1654</v>
      </c>
      <c r="E2" t="s">
        <v>1642</v>
      </c>
      <c r="F2" t="s">
        <v>1143</v>
      </c>
      <c r="G2" t="s">
        <v>1144</v>
      </c>
      <c r="H2" t="s">
        <v>1145</v>
      </c>
      <c r="I2" t="str">
        <f aca="true" t="shared" si="0" ref="I2:I31">TRIM(E2)</f>
        <v>0.00 mi</v>
      </c>
      <c r="J2">
        <f aca="true" t="shared" si="1" ref="J2:J31">FIND("mi",I2)</f>
        <v>6</v>
      </c>
      <c r="K2" t="str">
        <f aca="true" t="shared" si="2" ref="K2:K31">LEFT(I2,J2-1)</f>
        <v>0.00 </v>
      </c>
      <c r="L2">
        <f aca="true" t="shared" si="3" ref="L2:L31">$L$1+K2</f>
        <v>860.4300000000001</v>
      </c>
      <c r="M2" t="str">
        <f aca="true" t="shared" si="4" ref="M2:M31">IF(B2&lt;&gt;" ???",B2,$M$1)</f>
        <v> START</v>
      </c>
    </row>
    <row r="3" spans="1:13" ht="15">
      <c r="A3" t="s">
        <v>1146</v>
      </c>
      <c r="B3" t="s">
        <v>1147</v>
      </c>
      <c r="C3" t="s">
        <v>1148</v>
      </c>
      <c r="D3" t="s">
        <v>1282</v>
      </c>
      <c r="E3" t="s">
        <v>1654</v>
      </c>
      <c r="F3" t="s">
        <v>1149</v>
      </c>
      <c r="G3" t="s">
        <v>1263</v>
      </c>
      <c r="H3" t="s">
        <v>1264</v>
      </c>
      <c r="I3" t="str">
        <f t="shared" si="0"/>
        <v>0.04 mi</v>
      </c>
      <c r="J3">
        <f t="shared" si="1"/>
        <v>6</v>
      </c>
      <c r="K3" t="str">
        <f t="shared" si="2"/>
        <v>0.04 </v>
      </c>
      <c r="L3">
        <f t="shared" si="3"/>
        <v>860.47</v>
      </c>
      <c r="M3" t="str">
        <f t="shared" si="4"/>
        <v> Q X</v>
      </c>
    </row>
    <row r="4" spans="1:13" ht="15">
      <c r="A4" t="s">
        <v>1150</v>
      </c>
      <c r="B4" t="s">
        <v>1646</v>
      </c>
      <c r="C4" t="s">
        <v>13</v>
      </c>
      <c r="D4" t="s">
        <v>14</v>
      </c>
      <c r="E4" t="s">
        <v>1252</v>
      </c>
      <c r="F4" t="s">
        <v>15</v>
      </c>
      <c r="G4" t="s">
        <v>1151</v>
      </c>
      <c r="H4" t="s">
        <v>1152</v>
      </c>
      <c r="I4" t="str">
        <f t="shared" si="0"/>
        <v>0.47 mi</v>
      </c>
      <c r="J4">
        <f t="shared" si="1"/>
        <v>6</v>
      </c>
      <c r="K4" t="str">
        <f t="shared" si="2"/>
        <v>0.47 </v>
      </c>
      <c r="L4">
        <f t="shared" si="3"/>
        <v>860.9000000000001</v>
      </c>
      <c r="M4" t="str">
        <f t="shared" si="4"/>
        <v> X</v>
      </c>
    </row>
    <row r="5" spans="1:13" ht="15">
      <c r="A5" t="s">
        <v>1277</v>
      </c>
      <c r="B5" t="s">
        <v>1644</v>
      </c>
      <c r="C5" t="s">
        <v>1278</v>
      </c>
      <c r="D5" t="s">
        <v>2575</v>
      </c>
      <c r="E5" t="s">
        <v>1279</v>
      </c>
      <c r="F5" t="s">
        <v>1280</v>
      </c>
      <c r="G5" t="s">
        <v>2995</v>
      </c>
      <c r="H5" t="s">
        <v>1281</v>
      </c>
      <c r="I5" t="str">
        <f t="shared" si="0"/>
        <v>2.66 mi</v>
      </c>
      <c r="J5">
        <f t="shared" si="1"/>
        <v>6</v>
      </c>
      <c r="K5" t="str">
        <f t="shared" si="2"/>
        <v>2.66 </v>
      </c>
      <c r="L5">
        <f t="shared" si="3"/>
        <v>863.09</v>
      </c>
      <c r="M5" t="str">
        <f t="shared" si="4"/>
        <v> L</v>
      </c>
    </row>
    <row r="6" spans="1:13" ht="15">
      <c r="A6" t="s">
        <v>18</v>
      </c>
      <c r="B6" t="s">
        <v>1644</v>
      </c>
      <c r="C6" t="s">
        <v>19</v>
      </c>
      <c r="D6" t="s">
        <v>3002</v>
      </c>
      <c r="E6" t="s">
        <v>3031</v>
      </c>
      <c r="F6" t="s">
        <v>20</v>
      </c>
      <c r="G6" t="s">
        <v>21</v>
      </c>
      <c r="H6" t="s">
        <v>22</v>
      </c>
      <c r="I6" t="str">
        <f t="shared" si="0"/>
        <v>3.23 mi</v>
      </c>
      <c r="J6">
        <f t="shared" si="1"/>
        <v>6</v>
      </c>
      <c r="K6" t="str">
        <f t="shared" si="2"/>
        <v>3.23 </v>
      </c>
      <c r="L6">
        <f t="shared" si="3"/>
        <v>863.6600000000001</v>
      </c>
      <c r="M6" t="str">
        <f t="shared" si="4"/>
        <v> L</v>
      </c>
    </row>
    <row r="7" spans="1:13" ht="15">
      <c r="A7" t="s">
        <v>23</v>
      </c>
      <c r="B7" t="s">
        <v>1648</v>
      </c>
      <c r="C7" t="s">
        <v>24</v>
      </c>
      <c r="D7" t="s">
        <v>25</v>
      </c>
      <c r="E7" t="s">
        <v>26</v>
      </c>
      <c r="F7" t="s">
        <v>27</v>
      </c>
      <c r="G7" t="s">
        <v>28</v>
      </c>
      <c r="H7" t="s">
        <v>29</v>
      </c>
      <c r="I7" t="str">
        <f t="shared" si="0"/>
        <v>3.69 mi</v>
      </c>
      <c r="J7">
        <f t="shared" si="1"/>
        <v>6</v>
      </c>
      <c r="K7" t="str">
        <f t="shared" si="2"/>
        <v>3.69 </v>
      </c>
      <c r="L7">
        <f t="shared" si="3"/>
        <v>864.1200000000001</v>
      </c>
      <c r="M7" t="str">
        <f t="shared" si="4"/>
        <v> T R</v>
      </c>
    </row>
    <row r="8" spans="1:13" ht="15">
      <c r="A8" t="s">
        <v>30</v>
      </c>
      <c r="B8" t="s">
        <v>1647</v>
      </c>
      <c r="C8" t="s">
        <v>31</v>
      </c>
      <c r="D8" t="s">
        <v>1282</v>
      </c>
      <c r="E8" t="s">
        <v>32</v>
      </c>
      <c r="F8" t="s">
        <v>33</v>
      </c>
      <c r="G8" t="s">
        <v>34</v>
      </c>
      <c r="H8" t="s">
        <v>35</v>
      </c>
      <c r="I8" t="str">
        <f t="shared" si="0"/>
        <v>4.52 mi</v>
      </c>
      <c r="J8">
        <f t="shared" si="1"/>
        <v>6</v>
      </c>
      <c r="K8" t="str">
        <f t="shared" si="2"/>
        <v>4.52 </v>
      </c>
      <c r="L8">
        <f t="shared" si="3"/>
        <v>864.95</v>
      </c>
      <c r="M8" t="str">
        <f t="shared" si="4"/>
        <v> T L</v>
      </c>
    </row>
    <row r="9" spans="1:13" ht="15">
      <c r="A9" t="s">
        <v>36</v>
      </c>
      <c r="B9" t="s">
        <v>1651</v>
      </c>
      <c r="C9" t="s">
        <v>37</v>
      </c>
      <c r="D9" t="s">
        <v>3578</v>
      </c>
      <c r="E9" t="s">
        <v>38</v>
      </c>
      <c r="F9" t="s">
        <v>39</v>
      </c>
      <c r="G9" t="s">
        <v>40</v>
      </c>
      <c r="H9" t="s">
        <v>41</v>
      </c>
      <c r="I9" t="str">
        <f t="shared" si="0"/>
        <v>4.95 mi</v>
      </c>
      <c r="J9">
        <f t="shared" si="1"/>
        <v>6</v>
      </c>
      <c r="K9" t="str">
        <f t="shared" si="2"/>
        <v>4.95 </v>
      </c>
      <c r="L9">
        <f t="shared" si="3"/>
        <v>865.3800000000001</v>
      </c>
      <c r="M9" t="str">
        <f t="shared" si="4"/>
        <v> 1st R</v>
      </c>
    </row>
    <row r="10" spans="1:13" ht="15">
      <c r="A10" t="s">
        <v>1702</v>
      </c>
      <c r="B10" t="s">
        <v>1646</v>
      </c>
      <c r="C10" t="s">
        <v>1703</v>
      </c>
      <c r="D10" t="s">
        <v>1704</v>
      </c>
      <c r="E10" t="s">
        <v>1705</v>
      </c>
      <c r="F10" t="s">
        <v>1706</v>
      </c>
      <c r="G10" t="s">
        <v>1707</v>
      </c>
      <c r="H10" t="s">
        <v>1153</v>
      </c>
      <c r="I10" t="str">
        <f t="shared" si="0"/>
        <v>5.65 mi</v>
      </c>
      <c r="J10">
        <f t="shared" si="1"/>
        <v>6</v>
      </c>
      <c r="K10" t="str">
        <f t="shared" si="2"/>
        <v>5.65 </v>
      </c>
      <c r="L10">
        <f t="shared" si="3"/>
        <v>866.08</v>
      </c>
      <c r="M10" t="str">
        <f t="shared" si="4"/>
        <v> X</v>
      </c>
    </row>
    <row r="11" spans="1:13" ht="15">
      <c r="A11" t="s">
        <v>1708</v>
      </c>
      <c r="B11" t="s">
        <v>1647</v>
      </c>
      <c r="C11" t="s">
        <v>1709</v>
      </c>
      <c r="D11" t="s">
        <v>1652</v>
      </c>
      <c r="E11" t="s">
        <v>1710</v>
      </c>
      <c r="F11" t="s">
        <v>1711</v>
      </c>
      <c r="G11" t="s">
        <v>1712</v>
      </c>
      <c r="H11" t="s">
        <v>1713</v>
      </c>
      <c r="I11" t="str">
        <f t="shared" si="0"/>
        <v>9.88 mi</v>
      </c>
      <c r="J11">
        <f t="shared" si="1"/>
        <v>6</v>
      </c>
      <c r="K11" t="str">
        <f t="shared" si="2"/>
        <v>9.88 </v>
      </c>
      <c r="L11">
        <f t="shared" si="3"/>
        <v>870.3100000000001</v>
      </c>
      <c r="M11" t="str">
        <f t="shared" si="4"/>
        <v> T L</v>
      </c>
    </row>
    <row r="12" spans="1:13" ht="15">
      <c r="A12" t="s">
        <v>1714</v>
      </c>
      <c r="B12" t="s">
        <v>1651</v>
      </c>
      <c r="C12" t="s">
        <v>1715</v>
      </c>
      <c r="D12" t="s">
        <v>1716</v>
      </c>
      <c r="E12" t="s">
        <v>1717</v>
      </c>
      <c r="F12" t="s">
        <v>1718</v>
      </c>
      <c r="G12" t="s">
        <v>1719</v>
      </c>
      <c r="H12" t="s">
        <v>1720</v>
      </c>
      <c r="I12" t="str">
        <f t="shared" si="0"/>
        <v>10.02 mi</v>
      </c>
      <c r="J12">
        <f t="shared" si="1"/>
        <v>7</v>
      </c>
      <c r="K12" t="str">
        <f t="shared" si="2"/>
        <v>10.02 </v>
      </c>
      <c r="L12">
        <f t="shared" si="3"/>
        <v>870.45</v>
      </c>
      <c r="M12" t="str">
        <f t="shared" si="4"/>
        <v> 1st R</v>
      </c>
    </row>
    <row r="13" spans="1:13" ht="15">
      <c r="A13" t="s">
        <v>1721</v>
      </c>
      <c r="B13" t="s">
        <v>1648</v>
      </c>
      <c r="C13" t="s">
        <v>1722</v>
      </c>
      <c r="D13" t="s">
        <v>12</v>
      </c>
      <c r="E13" t="s">
        <v>1723</v>
      </c>
      <c r="F13" t="s">
        <v>1724</v>
      </c>
      <c r="G13" t="s">
        <v>1725</v>
      </c>
      <c r="H13" t="s">
        <v>1726</v>
      </c>
      <c r="I13" t="str">
        <f t="shared" si="0"/>
        <v>12.81 mi</v>
      </c>
      <c r="J13">
        <f t="shared" si="1"/>
        <v>7</v>
      </c>
      <c r="K13" t="str">
        <f t="shared" si="2"/>
        <v>12.81 </v>
      </c>
      <c r="L13">
        <f t="shared" si="3"/>
        <v>873.24</v>
      </c>
      <c r="M13" t="str">
        <f t="shared" si="4"/>
        <v> T R</v>
      </c>
    </row>
    <row r="14" spans="1:13" ht="15">
      <c r="A14" t="s">
        <v>1727</v>
      </c>
      <c r="B14" t="s">
        <v>1647</v>
      </c>
      <c r="C14" t="s">
        <v>1154</v>
      </c>
      <c r="D14" t="s">
        <v>1101</v>
      </c>
      <c r="E14" t="s">
        <v>1728</v>
      </c>
      <c r="F14" t="s">
        <v>1729</v>
      </c>
      <c r="G14" t="s">
        <v>1730</v>
      </c>
      <c r="H14" t="s">
        <v>1731</v>
      </c>
      <c r="I14" t="str">
        <f t="shared" si="0"/>
        <v>13.05 mi</v>
      </c>
      <c r="J14">
        <f t="shared" si="1"/>
        <v>7</v>
      </c>
      <c r="K14" t="str">
        <f t="shared" si="2"/>
        <v>13.05 </v>
      </c>
      <c r="L14">
        <f t="shared" si="3"/>
        <v>873.48</v>
      </c>
      <c r="M14" t="str">
        <f t="shared" si="4"/>
        <v> T L</v>
      </c>
    </row>
    <row r="15" spans="1:13" ht="15">
      <c r="A15" t="s">
        <v>1155</v>
      </c>
      <c r="B15" t="s">
        <v>1732</v>
      </c>
      <c r="C15" t="s">
        <v>329</v>
      </c>
      <c r="D15" t="s">
        <v>2479</v>
      </c>
      <c r="E15" t="s">
        <v>330</v>
      </c>
      <c r="F15" t="s">
        <v>331</v>
      </c>
      <c r="G15" t="s">
        <v>332</v>
      </c>
      <c r="H15" t="s">
        <v>333</v>
      </c>
      <c r="I15" t="str">
        <f t="shared" si="0"/>
        <v>13.41 mi</v>
      </c>
      <c r="J15">
        <f t="shared" si="1"/>
        <v>7</v>
      </c>
      <c r="K15" t="str">
        <f t="shared" si="2"/>
        <v>13.41 </v>
      </c>
      <c r="L15">
        <f t="shared" si="3"/>
        <v>873.84</v>
      </c>
      <c r="M15" t="str">
        <f t="shared" si="4"/>
        <v> 1st R + Q B L</v>
      </c>
    </row>
    <row r="16" spans="1:13" ht="15">
      <c r="A16" t="s">
        <v>334</v>
      </c>
      <c r="B16" t="s">
        <v>1624</v>
      </c>
      <c r="C16" t="s">
        <v>335</v>
      </c>
      <c r="D16" t="s">
        <v>3432</v>
      </c>
      <c r="E16" t="s">
        <v>336</v>
      </c>
      <c r="F16" t="s">
        <v>337</v>
      </c>
      <c r="G16" t="s">
        <v>338</v>
      </c>
      <c r="H16" t="s">
        <v>339</v>
      </c>
      <c r="I16" t="str">
        <f t="shared" si="0"/>
        <v>13.93 mi</v>
      </c>
      <c r="J16">
        <f t="shared" si="1"/>
        <v>7</v>
      </c>
      <c r="K16" t="str">
        <f t="shared" si="2"/>
        <v>13.93 </v>
      </c>
      <c r="L16">
        <f t="shared" si="3"/>
        <v>874.36</v>
      </c>
      <c r="M16" t="str">
        <f t="shared" si="4"/>
        <v> 1st B R</v>
      </c>
    </row>
    <row r="17" spans="1:13" ht="15">
      <c r="A17" t="s">
        <v>340</v>
      </c>
      <c r="B17" t="s">
        <v>1648</v>
      </c>
      <c r="C17" t="s">
        <v>1733</v>
      </c>
      <c r="D17" t="s">
        <v>3572</v>
      </c>
      <c r="E17" t="s">
        <v>1734</v>
      </c>
      <c r="F17" t="s">
        <v>342</v>
      </c>
      <c r="G17" t="s">
        <v>343</v>
      </c>
      <c r="H17" t="s">
        <v>344</v>
      </c>
      <c r="I17" t="str">
        <f t="shared" si="0"/>
        <v>14.64 mi</v>
      </c>
      <c r="J17">
        <f t="shared" si="1"/>
        <v>7</v>
      </c>
      <c r="K17" t="str">
        <f t="shared" si="2"/>
        <v>14.64 </v>
      </c>
      <c r="L17">
        <f t="shared" si="3"/>
        <v>875.07</v>
      </c>
      <c r="M17" t="str">
        <f t="shared" si="4"/>
        <v> T R</v>
      </c>
    </row>
    <row r="18" spans="1:13" ht="15">
      <c r="A18" t="s">
        <v>1735</v>
      </c>
      <c r="B18" t="s">
        <v>341</v>
      </c>
      <c r="C18" t="s">
        <v>1736</v>
      </c>
      <c r="D18" t="s">
        <v>12</v>
      </c>
      <c r="E18" t="s">
        <v>1737</v>
      </c>
      <c r="F18" t="s">
        <v>1738</v>
      </c>
      <c r="G18" t="s">
        <v>345</v>
      </c>
      <c r="H18" t="s">
        <v>346</v>
      </c>
      <c r="I18" t="str">
        <f t="shared" si="0"/>
        <v>14.80 mi</v>
      </c>
      <c r="J18">
        <f t="shared" si="1"/>
        <v>7</v>
      </c>
      <c r="K18" t="str">
        <f t="shared" si="2"/>
        <v>14.80 </v>
      </c>
      <c r="L18">
        <f t="shared" si="3"/>
        <v>875.23</v>
      </c>
      <c r="M18" t="str">
        <f t="shared" si="4"/>
        <v> *** 1st L</v>
      </c>
    </row>
    <row r="19" spans="1:13" ht="15">
      <c r="A19" t="s">
        <v>1739</v>
      </c>
      <c r="B19" t="s">
        <v>1646</v>
      </c>
      <c r="C19" t="s">
        <v>1740</v>
      </c>
      <c r="D19" t="s">
        <v>1741</v>
      </c>
      <c r="E19" t="s">
        <v>1742</v>
      </c>
      <c r="F19" t="s">
        <v>1743</v>
      </c>
      <c r="G19" t="s">
        <v>1744</v>
      </c>
      <c r="H19" t="s">
        <v>1745</v>
      </c>
      <c r="I19" t="str">
        <f t="shared" si="0"/>
        <v>15.04 mi</v>
      </c>
      <c r="J19">
        <f t="shared" si="1"/>
        <v>7</v>
      </c>
      <c r="K19" t="str">
        <f t="shared" si="2"/>
        <v>15.04 </v>
      </c>
      <c r="L19">
        <f t="shared" si="3"/>
        <v>875.47</v>
      </c>
      <c r="M19" t="str">
        <f t="shared" si="4"/>
        <v> X</v>
      </c>
    </row>
    <row r="20" spans="1:13" ht="15">
      <c r="A20" t="s">
        <v>1746</v>
      </c>
      <c r="B20" t="s">
        <v>1747</v>
      </c>
      <c r="C20" t="s">
        <v>1748</v>
      </c>
      <c r="D20" t="s">
        <v>1654</v>
      </c>
      <c r="E20" t="s">
        <v>347</v>
      </c>
      <c r="F20" t="s">
        <v>1749</v>
      </c>
      <c r="G20" t="s">
        <v>348</v>
      </c>
      <c r="H20" t="s">
        <v>349</v>
      </c>
      <c r="I20" t="str">
        <f t="shared" si="0"/>
        <v>15.27 mi</v>
      </c>
      <c r="J20">
        <f t="shared" si="1"/>
        <v>7</v>
      </c>
      <c r="K20" t="str">
        <f t="shared" si="2"/>
        <v>15.27 </v>
      </c>
      <c r="L20">
        <f t="shared" si="3"/>
        <v>875.7</v>
      </c>
      <c r="M20" t="str">
        <f t="shared" si="4"/>
        <v> Straight (NOT Right)</v>
      </c>
    </row>
    <row r="21" spans="1:13" ht="15">
      <c r="A21" t="s">
        <v>1750</v>
      </c>
      <c r="B21" t="s">
        <v>1147</v>
      </c>
      <c r="C21" t="s">
        <v>1751</v>
      </c>
      <c r="D21" t="s">
        <v>1752</v>
      </c>
      <c r="E21" t="s">
        <v>1753</v>
      </c>
      <c r="F21" t="s">
        <v>1754</v>
      </c>
      <c r="G21" t="s">
        <v>1755</v>
      </c>
      <c r="H21" t="s">
        <v>1756</v>
      </c>
      <c r="I21" t="str">
        <f t="shared" si="0"/>
        <v>15.31 mi</v>
      </c>
      <c r="J21">
        <f t="shared" si="1"/>
        <v>7</v>
      </c>
      <c r="K21" t="str">
        <f t="shared" si="2"/>
        <v>15.31 </v>
      </c>
      <c r="L21">
        <f t="shared" si="3"/>
        <v>875.74</v>
      </c>
      <c r="M21" t="str">
        <f t="shared" si="4"/>
        <v> Q X</v>
      </c>
    </row>
    <row r="22" spans="1:13" ht="15">
      <c r="A22" t="s">
        <v>1757</v>
      </c>
      <c r="B22" t="s">
        <v>1648</v>
      </c>
      <c r="C22" t="s">
        <v>1758</v>
      </c>
      <c r="D22" t="s">
        <v>350</v>
      </c>
      <c r="E22" t="s">
        <v>351</v>
      </c>
      <c r="F22" t="s">
        <v>352</v>
      </c>
      <c r="G22" t="s">
        <v>353</v>
      </c>
      <c r="H22" t="s">
        <v>1699</v>
      </c>
      <c r="I22" t="str">
        <f t="shared" si="0"/>
        <v>18.52 mi</v>
      </c>
      <c r="J22">
        <f t="shared" si="1"/>
        <v>7</v>
      </c>
      <c r="K22" t="str">
        <f t="shared" si="2"/>
        <v>18.52 </v>
      </c>
      <c r="L22">
        <f t="shared" si="3"/>
        <v>878.95</v>
      </c>
      <c r="M22" t="str">
        <f t="shared" si="4"/>
        <v> T R</v>
      </c>
    </row>
    <row r="23" spans="1:13" ht="15">
      <c r="A23" t="s">
        <v>1759</v>
      </c>
      <c r="B23" t="s">
        <v>1648</v>
      </c>
      <c r="C23" t="s">
        <v>1760</v>
      </c>
      <c r="D23" t="s">
        <v>1380</v>
      </c>
      <c r="E23" t="s">
        <v>354</v>
      </c>
      <c r="F23" t="s">
        <v>355</v>
      </c>
      <c r="G23" t="s">
        <v>356</v>
      </c>
      <c r="H23" t="s">
        <v>357</v>
      </c>
      <c r="I23" t="str">
        <f t="shared" si="0"/>
        <v>19.67 mi</v>
      </c>
      <c r="J23">
        <f t="shared" si="1"/>
        <v>7</v>
      </c>
      <c r="K23" t="str">
        <f t="shared" si="2"/>
        <v>19.67 </v>
      </c>
      <c r="L23">
        <f t="shared" si="3"/>
        <v>880.1</v>
      </c>
      <c r="M23" t="str">
        <f t="shared" si="4"/>
        <v> T R</v>
      </c>
    </row>
    <row r="24" spans="1:13" ht="15">
      <c r="A24" t="s">
        <v>1761</v>
      </c>
      <c r="B24" t="s">
        <v>1608</v>
      </c>
      <c r="C24" t="s">
        <v>1762</v>
      </c>
      <c r="D24" t="s">
        <v>395</v>
      </c>
      <c r="E24" t="s">
        <v>358</v>
      </c>
      <c r="F24" t="s">
        <v>359</v>
      </c>
      <c r="G24" t="s">
        <v>3088</v>
      </c>
      <c r="H24" t="s">
        <v>3089</v>
      </c>
      <c r="I24" t="str">
        <f t="shared" si="0"/>
        <v>19.76 mi</v>
      </c>
      <c r="J24">
        <f t="shared" si="1"/>
        <v>7</v>
      </c>
      <c r="K24" t="str">
        <f t="shared" si="2"/>
        <v>19.76 </v>
      </c>
      <c r="L24">
        <f t="shared" si="3"/>
        <v>880.19</v>
      </c>
      <c r="M24" t="str">
        <f t="shared" si="4"/>
        <v> Q L</v>
      </c>
    </row>
    <row r="25" spans="1:13" ht="15">
      <c r="A25" t="s">
        <v>1763</v>
      </c>
      <c r="B25" t="s">
        <v>1644</v>
      </c>
      <c r="C25" t="s">
        <v>3090</v>
      </c>
      <c r="D25" t="s">
        <v>2489</v>
      </c>
      <c r="E25" t="s">
        <v>1764</v>
      </c>
      <c r="F25" t="s">
        <v>3091</v>
      </c>
      <c r="G25" t="s">
        <v>3092</v>
      </c>
      <c r="H25" t="s">
        <v>3093</v>
      </c>
      <c r="I25" t="str">
        <f t="shared" si="0"/>
        <v>20.93 mi</v>
      </c>
      <c r="J25">
        <f t="shared" si="1"/>
        <v>7</v>
      </c>
      <c r="K25" t="str">
        <f t="shared" si="2"/>
        <v>20.93 </v>
      </c>
      <c r="L25">
        <f t="shared" si="3"/>
        <v>881.36</v>
      </c>
      <c r="M25" t="str">
        <f t="shared" si="4"/>
        <v> L</v>
      </c>
    </row>
    <row r="26" spans="1:13" ht="15">
      <c r="A26" t="s">
        <v>3094</v>
      </c>
      <c r="B26" t="s">
        <v>1651</v>
      </c>
      <c r="C26" t="s">
        <v>1765</v>
      </c>
      <c r="D26" t="s">
        <v>2487</v>
      </c>
      <c r="E26" t="s">
        <v>1766</v>
      </c>
      <c r="F26" t="s">
        <v>1767</v>
      </c>
      <c r="G26" t="s">
        <v>3095</v>
      </c>
      <c r="H26" t="s">
        <v>3096</v>
      </c>
      <c r="I26" t="str">
        <f t="shared" si="0"/>
        <v>21.64 mi</v>
      </c>
      <c r="J26">
        <f t="shared" si="1"/>
        <v>7</v>
      </c>
      <c r="K26" t="str">
        <f t="shared" si="2"/>
        <v>21.64 </v>
      </c>
      <c r="L26">
        <f t="shared" si="3"/>
        <v>882.07</v>
      </c>
      <c r="M26" t="str">
        <f t="shared" si="4"/>
        <v> 1st R</v>
      </c>
    </row>
    <row r="27" spans="1:13" ht="15">
      <c r="A27" t="s">
        <v>1768</v>
      </c>
      <c r="B27" t="s">
        <v>1645</v>
      </c>
      <c r="C27" t="s">
        <v>1769</v>
      </c>
      <c r="D27" t="s">
        <v>2478</v>
      </c>
      <c r="E27" t="s">
        <v>1770</v>
      </c>
      <c r="F27" t="s">
        <v>1771</v>
      </c>
      <c r="G27" t="s">
        <v>1772</v>
      </c>
      <c r="H27" t="s">
        <v>1773</v>
      </c>
      <c r="I27" t="str">
        <f t="shared" si="0"/>
        <v>22.78 mi</v>
      </c>
      <c r="J27">
        <f t="shared" si="1"/>
        <v>7</v>
      </c>
      <c r="K27" t="str">
        <f t="shared" si="2"/>
        <v>22.78 </v>
      </c>
      <c r="L27">
        <f t="shared" si="3"/>
        <v>883.21</v>
      </c>
      <c r="M27" t="str">
        <f t="shared" si="4"/>
        <v> B R</v>
      </c>
    </row>
    <row r="28" spans="1:13" ht="15">
      <c r="A28" t="s">
        <v>1774</v>
      </c>
      <c r="B28" t="s">
        <v>1775</v>
      </c>
      <c r="C28" t="s">
        <v>3097</v>
      </c>
      <c r="D28" t="s">
        <v>1604</v>
      </c>
      <c r="E28" t="s">
        <v>3098</v>
      </c>
      <c r="F28" t="s">
        <v>3099</v>
      </c>
      <c r="G28" t="s">
        <v>3100</v>
      </c>
      <c r="H28" t="s">
        <v>3101</v>
      </c>
      <c r="I28" t="str">
        <f t="shared" si="0"/>
        <v>22.83 mi</v>
      </c>
      <c r="J28">
        <f t="shared" si="1"/>
        <v>7</v>
      </c>
      <c r="K28" t="str">
        <f t="shared" si="2"/>
        <v>22.83 </v>
      </c>
      <c r="L28">
        <f t="shared" si="3"/>
        <v>883.2600000000001</v>
      </c>
      <c r="M28" t="str">
        <f t="shared" si="4"/>
        <v> Q T L</v>
      </c>
    </row>
    <row r="29" spans="1:13" ht="15">
      <c r="A29" t="s">
        <v>3102</v>
      </c>
      <c r="B29" t="s">
        <v>1651</v>
      </c>
      <c r="C29" t="s">
        <v>2254</v>
      </c>
      <c r="D29" t="s">
        <v>3103</v>
      </c>
      <c r="E29" t="s">
        <v>2255</v>
      </c>
      <c r="F29" t="s">
        <v>3104</v>
      </c>
      <c r="G29" t="s">
        <v>3495</v>
      </c>
      <c r="H29" t="s">
        <v>3096</v>
      </c>
      <c r="I29" t="str">
        <f t="shared" si="0"/>
        <v>23.02 mi</v>
      </c>
      <c r="J29">
        <f t="shared" si="1"/>
        <v>7</v>
      </c>
      <c r="K29" t="str">
        <f t="shared" si="2"/>
        <v>23.02 </v>
      </c>
      <c r="L29">
        <f t="shared" si="3"/>
        <v>883.45</v>
      </c>
      <c r="M29" t="str">
        <f t="shared" si="4"/>
        <v> 1st R</v>
      </c>
    </row>
    <row r="30" spans="1:13" ht="15">
      <c r="A30" t="s">
        <v>2256</v>
      </c>
      <c r="B30" t="s">
        <v>1641</v>
      </c>
      <c r="C30" t="s">
        <v>3105</v>
      </c>
      <c r="D30" t="s">
        <v>3106</v>
      </c>
      <c r="E30" t="s">
        <v>3107</v>
      </c>
      <c r="F30" t="s">
        <v>3108</v>
      </c>
      <c r="G30" t="s">
        <v>3109</v>
      </c>
      <c r="H30" t="s">
        <v>3110</v>
      </c>
      <c r="I30" t="str">
        <f t="shared" si="0"/>
        <v>24.30 mi</v>
      </c>
      <c r="J30">
        <f t="shared" si="1"/>
        <v>7</v>
      </c>
      <c r="K30" t="str">
        <f t="shared" si="2"/>
        <v>24.30 </v>
      </c>
      <c r="L30">
        <f t="shared" si="3"/>
        <v>884.73</v>
      </c>
      <c r="M30" t="str">
        <f t="shared" si="4"/>
        <v> R</v>
      </c>
    </row>
    <row r="31" spans="1:13" ht="15">
      <c r="A31" t="s">
        <v>3111</v>
      </c>
      <c r="B31" t="s">
        <v>1609</v>
      </c>
      <c r="C31" t="s">
        <v>836</v>
      </c>
      <c r="D31" t="s">
        <v>1619</v>
      </c>
      <c r="E31" t="s">
        <v>837</v>
      </c>
      <c r="F31" t="s">
        <v>838</v>
      </c>
      <c r="G31" t="s">
        <v>1102</v>
      </c>
      <c r="H31" t="s">
        <v>839</v>
      </c>
      <c r="I31" t="str">
        <f t="shared" si="0"/>
        <v>24.98 mi</v>
      </c>
      <c r="J31">
        <f t="shared" si="1"/>
        <v>7</v>
      </c>
      <c r="K31" t="str">
        <f t="shared" si="2"/>
        <v>24.98 </v>
      </c>
      <c r="L31">
        <f t="shared" si="3"/>
        <v>885.4100000000001</v>
      </c>
      <c r="M31" t="str">
        <f t="shared" si="4"/>
        <v> Stop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75" zoomScaleNormal="75" workbookViewId="0" topLeftCell="A55">
      <selection activeCell="H59" sqref="H59"/>
    </sheetView>
  </sheetViews>
  <sheetFormatPr defaultColWidth="8.88671875" defaultRowHeight="15"/>
  <cols>
    <col min="2" max="2" width="10.3359375" style="0" customWidth="1"/>
    <col min="3" max="3" width="5.5546875" style="0" customWidth="1"/>
    <col min="4" max="4" width="6.99609375" style="0" customWidth="1"/>
    <col min="5" max="5" width="26.3359375" style="0" customWidth="1"/>
    <col min="6" max="6" width="18.88671875" style="0" customWidth="1"/>
    <col min="7" max="7" width="27.21484375" style="17" customWidth="1"/>
    <col min="8" max="8" width="36.10546875" style="26" customWidth="1"/>
    <col min="9" max="9" width="42.88671875" style="0" customWidth="1"/>
  </cols>
  <sheetData>
    <row r="1" spans="1:9" ht="15">
      <c r="A1" t="s">
        <v>1655</v>
      </c>
      <c r="B1" t="s">
        <v>1658</v>
      </c>
      <c r="C1" t="s">
        <v>1656</v>
      </c>
      <c r="D1" t="s">
        <v>1657</v>
      </c>
      <c r="E1" t="s">
        <v>1626</v>
      </c>
      <c r="F1" t="s">
        <v>1659</v>
      </c>
      <c r="G1" s="17" t="s">
        <v>1660</v>
      </c>
      <c r="H1" s="26" t="s">
        <v>1661</v>
      </c>
      <c r="I1" t="s">
        <v>1668</v>
      </c>
    </row>
    <row r="2" ht="16.5">
      <c r="F2" s="15"/>
    </row>
    <row r="3" spans="1:9" ht="49.5" customHeight="1">
      <c r="A3">
        <v>1</v>
      </c>
      <c r="B3" t="str">
        <f>"Controle "&amp;A3</f>
        <v>Controle 1</v>
      </c>
      <c r="C3">
        <f>MATCH(B3,Cue!H:H,0)</f>
        <v>19</v>
      </c>
      <c r="D3" s="16">
        <f>INDEX(Cue!A:A,C3)</f>
        <v>0</v>
      </c>
      <c r="E3" t="str">
        <f>Cue!E24</f>
        <v>Controle Start - Leave driveway turning right onto Rt 663 </v>
      </c>
      <c r="F3" s="15" t="s">
        <v>1666</v>
      </c>
      <c r="G3" s="17" t="s">
        <v>840</v>
      </c>
      <c r="H3" s="26" t="str">
        <f>B3&amp;" "&amp;G3</f>
        <v>Controle 1 Hampton Inn Quakertown (215) 536-7779</v>
      </c>
      <c r="I3" s="25" t="str">
        <f>A3&amp;" "&amp;G3&amp;"
"&amp;H4&amp;"
"&amp;H5&amp;" 0mi"</f>
        <v>1 Hampton Inn Quakertown (215) 536-7779
1915 John Fries Hwy / Rt 663, Quakertown, PA
start: 08/08 04:00 0mi</v>
      </c>
    </row>
    <row r="4" spans="4:8" ht="16.5">
      <c r="D4" s="16"/>
      <c r="F4" s="36" t="s">
        <v>1667</v>
      </c>
      <c r="G4" s="17" t="s">
        <v>841</v>
      </c>
      <c r="H4" s="26" t="str">
        <f>G4</f>
        <v>1915 John Fries Hwy / Rt 663, Quakertown, PA</v>
      </c>
    </row>
    <row r="5" spans="4:8" ht="16.5">
      <c r="D5" s="16"/>
      <c r="F5" s="36" t="s">
        <v>1205</v>
      </c>
      <c r="H5" s="26" t="str">
        <f>RIGHT(F5,18)</f>
        <v>start: 08/08 04:00</v>
      </c>
    </row>
    <row r="6" spans="1:9" ht="45">
      <c r="A6">
        <f>A3+1</f>
        <v>2</v>
      </c>
      <c r="B6" t="str">
        <f>"Controle "&amp;A6</f>
        <v>Controle 2</v>
      </c>
      <c r="C6">
        <f>MATCH(B6,Cue!H:H,0)</f>
        <v>54</v>
      </c>
      <c r="D6" s="16">
        <f>INDEX(Cue!A:A,C6)</f>
        <v>35.6</v>
      </c>
      <c r="E6" t="str">
        <f>LEFT(INDEX(Cue!E:E,C6),30)</f>
        <v>Controle Shell Mini Mart (on r</v>
      </c>
      <c r="G6" s="27" t="s">
        <v>2751</v>
      </c>
      <c r="H6" s="26" t="str">
        <f>B6&amp;" "&amp;G6</f>
        <v>Controle 2 Shell Station (610) 767-3786</v>
      </c>
      <c r="I6" s="25" t="str">
        <f>A6&amp;" "&amp;G6&amp;"
"&amp;H7&amp;"
"&amp;H8&amp;LEFT(F7,8)</f>
        <v>2 Shell Station (610) 767-3786
4024 Mountain View Dr / Rt 946, Danielsville, PA
open: 08/08 05:42  close: 08/08 07:52   36mi </v>
      </c>
    </row>
    <row r="7" spans="4:8" ht="27">
      <c r="D7" s="16">
        <f>(D6-D3)*(200/124)</f>
        <v>57.41935483870967</v>
      </c>
      <c r="F7" s="36" t="s">
        <v>1206</v>
      </c>
      <c r="G7" s="27" t="s">
        <v>2752</v>
      </c>
      <c r="H7" s="26" t="str">
        <f>G7</f>
        <v>4024 Mountain View Dr / Rt 946, Danielsville, PA</v>
      </c>
    </row>
    <row r="8" spans="4:8" ht="16.5">
      <c r="D8" s="16"/>
      <c r="F8" s="36" t="s">
        <v>1207</v>
      </c>
      <c r="H8" s="26" t="str">
        <f>RIGHT(F7,17)&amp;"  "&amp;RIGHT(F8,18)</f>
        <v>open: 08/08 05:42  close: 08/08 07:52</v>
      </c>
    </row>
    <row r="9" spans="1:9" ht="45">
      <c r="A9">
        <f>A6+1</f>
        <v>3</v>
      </c>
      <c r="B9" t="str">
        <f>"Controle "&amp;A9</f>
        <v>Controle 3</v>
      </c>
      <c r="C9">
        <f>MATCH(B9,Cue!H:H,0)</f>
        <v>103</v>
      </c>
      <c r="D9" s="16">
        <f>INDEX(Cue!A:A,C9)</f>
        <v>83.8</v>
      </c>
      <c r="E9" t="str">
        <f>LEFT(INDEX(Cue!E:E,C9),30)</f>
        <v>Controle Gourmet Gallery on le</v>
      </c>
      <c r="G9" s="17" t="s">
        <v>2530</v>
      </c>
      <c r="H9" s="26" t="str">
        <f>B9&amp;" "&amp;G9</f>
        <v>Controle 3 Gourmet Gallery (908) 362-0051</v>
      </c>
      <c r="I9" s="25" t="str">
        <f>A9&amp;" "&amp;G9&amp;"
"&amp;H10&amp;"
"&amp;H11&amp;LEFT(F10,8)</f>
        <v>3 Gourmet Gallery (908) 362-0051
31 Main St, Blairstown, NJ
open: 08/08 07:58  close: 08/08 13:00   84mi </v>
      </c>
    </row>
    <row r="10" spans="4:8" ht="16.5">
      <c r="D10" s="16">
        <f>(D9-D6)*(200/124)</f>
        <v>77.74193548387096</v>
      </c>
      <c r="F10" s="36" t="s">
        <v>1208</v>
      </c>
      <c r="G10" s="17" t="s">
        <v>2531</v>
      </c>
      <c r="H10" s="26" t="str">
        <f>G10</f>
        <v>31 Main St, Blairstown, NJ</v>
      </c>
    </row>
    <row r="11" spans="4:8" ht="16.5">
      <c r="D11" s="16"/>
      <c r="F11" s="36" t="s">
        <v>1209</v>
      </c>
      <c r="H11" s="26" t="str">
        <f>RIGHT(F10,17)&amp;"  "&amp;RIGHT(F11,18)</f>
        <v>open: 08/08 07:58  close: 08/08 13:00</v>
      </c>
    </row>
    <row r="12" spans="1:9" ht="45">
      <c r="A12">
        <f>A9+1</f>
        <v>4</v>
      </c>
      <c r="B12" t="str">
        <f>"Controle "&amp;A12</f>
        <v>Controle 4</v>
      </c>
      <c r="C12">
        <f>MATCH(B12,Cue!H:H,0)</f>
        <v>126</v>
      </c>
      <c r="D12" s="16">
        <f>INDEX(Cue!A:A,C12)</f>
        <v>121.9</v>
      </c>
      <c r="E12" t="str">
        <f>LEFT(INDEX(Cue!E:E,C12),30)</f>
        <v>Controle Muller's Port Jervis </v>
      </c>
      <c r="G12" s="17" t="s">
        <v>702</v>
      </c>
      <c r="H12" s="26" t="str">
        <f>B12&amp;" "&amp;G12</f>
        <v>Controle 4 Muller's Port Jervis Diner (845) 856-7978</v>
      </c>
      <c r="I12" s="25" t="str">
        <f>A12&amp;" "&amp;G12&amp;"
"&amp;H13&amp;"
"&amp;H14&amp;LEFT(F13,8)</f>
        <v>4 Muller's Port Jervis Diner (845) 856-7978
41 East Main St / Rt 6, Port Jervis, NY
open: 08/08 09:46  close: 08/08 17:04  122mi </v>
      </c>
    </row>
    <row r="13" spans="4:8" ht="16.5">
      <c r="D13" s="16">
        <f>(D12-D9)*(200/124)</f>
        <v>61.451612903225815</v>
      </c>
      <c r="F13" s="36" t="s">
        <v>1210</v>
      </c>
      <c r="G13" s="17" t="s">
        <v>703</v>
      </c>
      <c r="H13" s="26" t="str">
        <f>G13</f>
        <v>41 East Main St / Rt 6, Port Jervis, NY</v>
      </c>
    </row>
    <row r="14" spans="4:8" ht="16.5">
      <c r="D14" s="16"/>
      <c r="F14" s="36" t="s">
        <v>1211</v>
      </c>
      <c r="H14" s="26" t="str">
        <f>RIGHT(F13,17)&amp;"  "&amp;RIGHT(F14,18)</f>
        <v>open: 08/08 09:46  close: 08/08 17:04</v>
      </c>
    </row>
    <row r="15" spans="1:9" ht="45">
      <c r="A15">
        <f>A12+1</f>
        <v>5</v>
      </c>
      <c r="B15" t="str">
        <f>"Controle "&amp;A15</f>
        <v>Controle 5</v>
      </c>
      <c r="C15">
        <f>MATCH(B15,Cue!H:H,0)</f>
        <v>136</v>
      </c>
      <c r="D15" s="16">
        <f>INDEX(Cue!A:A,C15)</f>
        <v>139.1</v>
      </c>
      <c r="E15" t="str">
        <f>LEFT(INDEX(Cue!E:E,C15),30)</f>
        <v>Controle The Corner (on right </v>
      </c>
      <c r="G15" s="27" t="s">
        <v>704</v>
      </c>
      <c r="H15" s="26" t="str">
        <f>B15&amp;" "&amp;G15</f>
        <v>Controle 5 The Corner (845) 557-3321</v>
      </c>
      <c r="I15" s="25" t="str">
        <f>A15&amp;" "&amp;G15&amp;"
"&amp;H16&amp;"
"&amp;H17&amp;LEFT(F16,8)</f>
        <v>5 The Corner (845) 557-3321
577 Rt 55, Eldred, NY
open: 08/08 10:38  close: 08/08 18:56  139mi </v>
      </c>
    </row>
    <row r="16" spans="4:8" ht="16.5">
      <c r="D16" s="16">
        <f>(D15-D12)*(200/124)</f>
        <v>27.741935483870947</v>
      </c>
      <c r="F16" s="36" t="s">
        <v>1212</v>
      </c>
      <c r="G16" s="17" t="s">
        <v>705</v>
      </c>
      <c r="H16" s="26" t="str">
        <f>G16</f>
        <v>577 Rt 55, Eldred, NY</v>
      </c>
    </row>
    <row r="17" spans="4:8" ht="16.5">
      <c r="D17" s="16"/>
      <c r="F17" s="36" t="s">
        <v>1213</v>
      </c>
      <c r="H17" s="26" t="str">
        <f>RIGHT(F16,17)&amp;"  "&amp;RIGHT(F17,18)</f>
        <v>open: 08/08 10:38  close: 08/08 18:56</v>
      </c>
    </row>
    <row r="18" spans="1:9" ht="45">
      <c r="A18">
        <f>A15+1</f>
        <v>6</v>
      </c>
      <c r="B18" t="str">
        <f>"Controle "&amp;A18</f>
        <v>Controle 6</v>
      </c>
      <c r="C18">
        <f>MATCH(B18,Cue!H:H,0)</f>
        <v>163</v>
      </c>
      <c r="D18" s="16">
        <f>INDEX(Cue!A:A,C18)</f>
        <v>190.1</v>
      </c>
      <c r="E18" t="str">
        <f>LEFT(INDEX(Cue!E:E,C18),30)</f>
        <v>Controle Dunkin' Donuts (TFL) </v>
      </c>
      <c r="G18" s="17" t="s">
        <v>2532</v>
      </c>
      <c r="H18" s="26" t="str">
        <f>B18&amp;" "&amp;G18</f>
        <v>Controle 6 Dunkin Donuts (570) 282-3364</v>
      </c>
      <c r="I18" s="25" t="str">
        <f>A18&amp;" "&amp;G18&amp;"
"&amp;H19&amp;"
"&amp;H20&amp;LEFT(F19,8)</f>
        <v>6 Dunkin Donuts (570) 282-3364
40 S. Main St., Carbondale, PA
open: 08/08 13:12  close: 08/09 00:24  190mi </v>
      </c>
    </row>
    <row r="19" spans="4:8" ht="16.5">
      <c r="D19" s="16">
        <f>(D18-D15)*(200/124)</f>
        <v>82.25806451612902</v>
      </c>
      <c r="F19" s="36" t="s">
        <v>1214</v>
      </c>
      <c r="G19" s="17" t="s">
        <v>2533</v>
      </c>
      <c r="H19" s="26" t="str">
        <f>G19</f>
        <v>40 S. Main St., Carbondale, PA</v>
      </c>
    </row>
    <row r="20" spans="4:8" ht="16.5">
      <c r="D20" s="16"/>
      <c r="F20" s="36" t="s">
        <v>1215</v>
      </c>
      <c r="H20" s="26" t="str">
        <f>RIGHT(F19,17)&amp;"  "&amp;RIGHT(F20,18)</f>
        <v>open: 08/08 13:12  close: 08/09 00:24</v>
      </c>
    </row>
    <row r="21" spans="1:9" ht="45">
      <c r="A21">
        <f>A18+1</f>
        <v>7</v>
      </c>
      <c r="B21" t="str">
        <f>"Controle "&amp;A21</f>
        <v>Controle 7</v>
      </c>
      <c r="C21">
        <f>MATCH(B21,Cue!H:H,0)</f>
        <v>187</v>
      </c>
      <c r="D21" s="16">
        <f>INDEX(Cue!A:A,C21)</f>
        <v>224.1</v>
      </c>
      <c r="E21" t="str">
        <f>LEFT(INDEX(Cue!E:E,C21),30)</f>
        <v>Controle Colonial Brick Inn on</v>
      </c>
      <c r="G21" s="17" t="s">
        <v>2534</v>
      </c>
      <c r="H21" s="26" t="str">
        <f>B21&amp;" "&amp;G21</f>
        <v>Controle 7 Colonial Brick Inn &amp; Suites (570) 879-2162</v>
      </c>
      <c r="I21" s="25" t="str">
        <f>A21&amp;" "&amp;G21&amp;"
"&amp;H22&amp;"
"&amp;H23&amp;LEFT(F22,8)</f>
        <v>7 Colonial Brick Inn &amp; Suites (570) 879-2162
Rt 11 &amp; I-81 at Exit 230, Hallstead, PA
open: 08/08 14:53  close: 08/09 04:00  224mi </v>
      </c>
    </row>
    <row r="22" spans="4:8" ht="16.5">
      <c r="D22" s="16">
        <f>(D21-D18)*(200/124)</f>
        <v>54.83870967741935</v>
      </c>
      <c r="F22" s="36" t="s">
        <v>1216</v>
      </c>
      <c r="G22" s="17" t="s">
        <v>2535</v>
      </c>
      <c r="H22" s="26" t="str">
        <f>G22</f>
        <v>Rt 11 &amp; I-81 at Exit 230, Hallstead, PA</v>
      </c>
    </row>
    <row r="23" spans="4:8" ht="16.5">
      <c r="D23" s="16"/>
      <c r="F23" s="36" t="s">
        <v>1924</v>
      </c>
      <c r="H23" s="26" t="str">
        <f>RIGHT(F22,17)&amp;"  "&amp;RIGHT(F23,18)</f>
        <v>open: 08/08 14:53  close: 08/09 04:00</v>
      </c>
    </row>
    <row r="24" spans="1:9" ht="45">
      <c r="A24">
        <f>A21+1</f>
        <v>8</v>
      </c>
      <c r="B24" t="str">
        <f>"Controle "&amp;A24</f>
        <v>Controle 8</v>
      </c>
      <c r="C24">
        <f>MATCH(B24,Cue!H:H,0)</f>
        <v>211</v>
      </c>
      <c r="D24" s="16">
        <f>INDEX(Cue!A:A,C24)</f>
        <v>271.1</v>
      </c>
      <c r="E24" t="str">
        <f>LEFT(INDEX(Cue!E:E,C24),30)</f>
        <v>Controle Citgo / Dandy Mini Ma</v>
      </c>
      <c r="G24" s="17" t="s">
        <v>2362</v>
      </c>
      <c r="H24" s="26" t="str">
        <f>B24&amp;" "&amp;G24</f>
        <v>Controle 8 Dandy Mini Market (607) 699-3538</v>
      </c>
      <c r="I24" s="25" t="str">
        <f>A24&amp;" "&amp;G24&amp;"
"&amp;H25&amp;"
"&amp;H26&amp;LEFT(F25,8)</f>
        <v>8 Dandy Mini Market (607) 699-3538
814 W River Rd, Nichols, NY
close: Not Timed (on pace:  08/09 09:04)  271mi </v>
      </c>
    </row>
    <row r="25" spans="4:8" ht="16.5">
      <c r="D25" s="16">
        <f>(D24-D21)*(200/124)</f>
        <v>75.80645161290327</v>
      </c>
      <c r="F25" s="36" t="s">
        <v>1925</v>
      </c>
      <c r="G25" s="17" t="s">
        <v>2363</v>
      </c>
      <c r="H25" s="26" t="str">
        <f>G25</f>
        <v>814 W River Rd, Nichols, NY</v>
      </c>
    </row>
    <row r="26" spans="4:8" ht="16.5">
      <c r="D26" s="16"/>
      <c r="F26" s="36" t="s">
        <v>1926</v>
      </c>
      <c r="H26" s="26" t="str">
        <f>"close: Not Timed (on pace: "&amp;RIGHT(F26,12)&amp;")"</f>
        <v>close: Not Timed (on pace:  08/09 09:04)</v>
      </c>
    </row>
    <row r="27" spans="1:9" ht="45">
      <c r="A27">
        <f>A24+1</f>
        <v>9</v>
      </c>
      <c r="B27" t="str">
        <f>"Controle "&amp;A27</f>
        <v>Controle 9</v>
      </c>
      <c r="C27">
        <f>MATCH(B27,Cue!H:H,0)</f>
        <v>219</v>
      </c>
      <c r="D27" s="16">
        <f>INDEX(Cue!A:A,C27)</f>
        <v>295.3</v>
      </c>
      <c r="E27" t="str">
        <f>LEFT(INDEX(Cue!E:E,C27),30)</f>
        <v>Controle Dandy Gas N' Go (jct </v>
      </c>
      <c r="G27" s="17" t="s">
        <v>2364</v>
      </c>
      <c r="H27" s="26" t="str">
        <f>B27&amp;" "&amp;G27</f>
        <v>Controle 9 Dandy Mini Mart 5 (570) 265-6380</v>
      </c>
      <c r="I27" s="25" t="str">
        <f>A27&amp;" "&amp;G27&amp;"
"&amp;H28&amp;"
"&amp;H29&amp;LEFT(F28,8)</f>
        <v>9 Dandy Mini Mart 5 (570) 265-6380
474 Reuters Blvd, Towanda, PA
open: 08/08 18:38  close: 08/09 11:40  295mi </v>
      </c>
    </row>
    <row r="28" spans="4:8" ht="16.5">
      <c r="D28" s="16">
        <f>(D27-D24)*(200/124)</f>
        <v>39.03225806451611</v>
      </c>
      <c r="F28" s="36" t="s">
        <v>1927</v>
      </c>
      <c r="G28" s="17" t="s">
        <v>157</v>
      </c>
      <c r="H28" s="26" t="str">
        <f>G28</f>
        <v>474 Reuters Blvd, Towanda, PA</v>
      </c>
    </row>
    <row r="29" spans="4:8" ht="16.5">
      <c r="D29" s="16"/>
      <c r="F29" s="36" t="s">
        <v>1928</v>
      </c>
      <c r="H29" s="26" t="str">
        <f>RIGHT(F28,17)&amp;"  "&amp;RIGHT(F29,18)</f>
        <v>open: 08/08 18:38  close: 08/09 11:40</v>
      </c>
    </row>
    <row r="30" spans="1:9" ht="45">
      <c r="A30">
        <f>A27+1</f>
        <v>10</v>
      </c>
      <c r="B30" t="str">
        <f>"Controle "&amp;A30</f>
        <v>Controle 10</v>
      </c>
      <c r="C30">
        <f>MATCH(B30,Cue!H:H,0)</f>
        <v>232</v>
      </c>
      <c r="D30" s="16">
        <f>INDEX(Cue!A:A,C30)</f>
        <v>323</v>
      </c>
      <c r="E30" t="str">
        <f>LEFT(INDEX(Cue!E:E,C30),30)</f>
        <v>Controle Exxon Acorn Jct Rt 41</v>
      </c>
      <c r="G30" s="17" t="s">
        <v>2536</v>
      </c>
      <c r="H30" s="26" t="str">
        <f>B30&amp;" "&amp;G30</f>
        <v>Controle 10 Acorn Market (570) 673-8404 </v>
      </c>
      <c r="I30" s="25" t="str">
        <f>A30&amp;" "&amp;G30&amp;"
"&amp;H31&amp;"
"&amp;H32&amp;LEFT(F31,8)</f>
        <v>10 Acorn Market (570) 673-8404 
44 Main St, Canton, PA
open: 08/08 20:08  close: 08/09 14:40  323mi </v>
      </c>
    </row>
    <row r="31" spans="4:8" ht="16.5">
      <c r="D31" s="16">
        <f>(D30-D27)*(200/124)</f>
        <v>44.67741935483869</v>
      </c>
      <c r="F31" s="36" t="s">
        <v>1078</v>
      </c>
      <c r="G31" s="17" t="s">
        <v>2537</v>
      </c>
      <c r="H31" s="26" t="str">
        <f>G31</f>
        <v>44 Main St, Canton, PA</v>
      </c>
    </row>
    <row r="32" spans="4:8" ht="16.5">
      <c r="D32" s="16"/>
      <c r="F32" s="36" t="s">
        <v>1079</v>
      </c>
      <c r="H32" s="26" t="str">
        <f>RIGHT(F31,17)&amp;"  "&amp;RIGHT(F32,18)</f>
        <v>open: 08/08 20:08  close: 08/09 14:40</v>
      </c>
    </row>
    <row r="33" spans="1:9" ht="45">
      <c r="A33">
        <f>A30+1</f>
        <v>11</v>
      </c>
      <c r="B33" t="str">
        <f>"Controle "&amp;A33</f>
        <v>Controle 11</v>
      </c>
      <c r="C33">
        <f>MATCH(B33,Cue!H:H,0)</f>
        <v>250</v>
      </c>
      <c r="D33" s="16">
        <f>INDEX(Cue!A:A,C33)</f>
        <v>366.3</v>
      </c>
      <c r="E33" t="str">
        <f>LEFT(INDEX(Cue!E:E,C33),30)</f>
        <v>Controle McConnell's Country S</v>
      </c>
      <c r="G33" s="17" t="s">
        <v>2365</v>
      </c>
      <c r="H33" s="26" t="str">
        <f>B33&amp;" "&amp;G33</f>
        <v>Controle 11 McConnell's Store (570) 753-8241</v>
      </c>
      <c r="I33" s="25" t="str">
        <f>A33&amp;" "&amp;G33&amp;"
"&amp;H34&amp;"
"&amp;H35&amp;LEFT(F34,8)</f>
        <v>11 McConnell's Store (570) 753-8241
10853 Rt 44, Waterville, PA
open: 08/08 22:26  close: 08/09 19:16  366mi </v>
      </c>
    </row>
    <row r="34" spans="4:8" ht="16.5">
      <c r="D34" s="16">
        <f>(D33-D30)*(200/124)</f>
        <v>69.83870967741937</v>
      </c>
      <c r="F34" s="36" t="s">
        <v>1929</v>
      </c>
      <c r="G34" s="17" t="s">
        <v>2366</v>
      </c>
      <c r="H34" s="26" t="str">
        <f>G34</f>
        <v>10853 Rt 44, Waterville, PA</v>
      </c>
    </row>
    <row r="35" spans="4:8" ht="16.5">
      <c r="D35" s="16"/>
      <c r="F35" s="36" t="s">
        <v>1930</v>
      </c>
      <c r="H35" s="26" t="str">
        <f>RIGHT(F34,17)&amp;"  "&amp;RIGHT(F35,18)</f>
        <v>open: 08/08 22:26  close: 08/09 19:16</v>
      </c>
    </row>
    <row r="36" spans="1:9" ht="45">
      <c r="A36">
        <f>A33+1</f>
        <v>12</v>
      </c>
      <c r="B36" t="str">
        <f>"Controle "&amp;A36</f>
        <v>Controle 12</v>
      </c>
      <c r="C36">
        <f>MATCH(B36,Cue!H:H,0)</f>
        <v>270</v>
      </c>
      <c r="D36" s="16">
        <f>INDEX(Cue!A:A,C36)</f>
        <v>402.8</v>
      </c>
      <c r="E36" t="str">
        <f>LEFT(INDEX(Cue!E:E,C36),30)</f>
        <v>Controle Flying-J Truck stop (</v>
      </c>
      <c r="G36" s="27" t="s">
        <v>2367</v>
      </c>
      <c r="H36" s="26" t="str">
        <f>B36&amp;" "&amp;G36</f>
        <v>Controle 12 Flying J Travel Plaza (570) 726-4080</v>
      </c>
      <c r="I36" s="25" t="str">
        <f>A36&amp;" "&amp;G36&amp;"
"&amp;H37&amp;"
"&amp;H38&amp;LEFT(F37,8)</f>
        <v>12 Flying J Travel Plaza (570) 726-4080
5609  Nittany Valley Dr / Rt 64, Lamar, PA
open: 08/09 00:33  close: 08/10 00:17  403mi </v>
      </c>
    </row>
    <row r="37" spans="4:8" ht="16.5">
      <c r="D37" s="16">
        <f>(D36-D33)*(200/124)</f>
        <v>58.87096774193548</v>
      </c>
      <c r="F37" s="36" t="s">
        <v>1080</v>
      </c>
      <c r="G37" s="17" t="s">
        <v>2368</v>
      </c>
      <c r="H37" s="26" t="str">
        <f>G37</f>
        <v>5609  Nittany Valley Dr / Rt 64, Lamar, PA</v>
      </c>
    </row>
    <row r="38" spans="4:8" ht="16.5">
      <c r="D38" s="16"/>
      <c r="F38" s="36" t="s">
        <v>1081</v>
      </c>
      <c r="H38" s="26" t="str">
        <f>RIGHT(F37,17)&amp;"  "&amp;RIGHT(F38,18)</f>
        <v>open: 08/09 00:33  close: 08/10 00:17</v>
      </c>
    </row>
    <row r="39" spans="1:9" ht="45">
      <c r="A39">
        <f>A36+1</f>
        <v>13</v>
      </c>
      <c r="B39" t="str">
        <f>"Controle "&amp;A39</f>
        <v>Controle 13</v>
      </c>
      <c r="C39">
        <f>MATCH(B39,Cue!H:H,0)</f>
        <v>287</v>
      </c>
      <c r="D39" s="16">
        <f>INDEX(Cue!A:A,C39)</f>
        <v>446.5</v>
      </c>
      <c r="E39" t="str">
        <f>LEFT(INDEX(Cue!E:E,C39),30)</f>
        <v>Controle Country Inn &amp; Suites </v>
      </c>
      <c r="G39" s="17" t="s">
        <v>2369</v>
      </c>
      <c r="H39" s="26" t="str">
        <f>B39&amp;" "&amp;G39</f>
        <v>Controle 13 Country Inn &amp; Suites (570) 524-6600</v>
      </c>
      <c r="I39" s="25" t="str">
        <f>A39&amp;" "&amp;G39&amp;"
"&amp;H40&amp;"
"&amp;H41&amp;LEFT(F40,8)</f>
        <v>13 Country Inn &amp; Suites (570) 524-6600
134 Walter Dr, Lewisburg, PA
open: 08/09 03:01  close: 08/10 06:20  446mi </v>
      </c>
    </row>
    <row r="40" spans="4:8" ht="16.5">
      <c r="D40" s="16">
        <f>(D39-D36)*(200/124)</f>
        <v>70.48387096774191</v>
      </c>
      <c r="F40" s="36" t="s">
        <v>1931</v>
      </c>
      <c r="G40" s="17" t="s">
        <v>2370</v>
      </c>
      <c r="H40" s="26" t="str">
        <f>G40</f>
        <v>134 Walter Dr, Lewisburg, PA</v>
      </c>
    </row>
    <row r="41" spans="4:8" ht="16.5">
      <c r="D41" s="16"/>
      <c r="F41" s="36" t="s">
        <v>1932</v>
      </c>
      <c r="H41" s="26" t="str">
        <f>RIGHT(F40,17)&amp;"  "&amp;RIGHT(F41,18)</f>
        <v>open: 08/09 03:01  close: 08/10 06:20</v>
      </c>
    </row>
    <row r="42" spans="1:9" ht="45">
      <c r="A42">
        <f>A39+1</f>
        <v>14</v>
      </c>
      <c r="B42" t="str">
        <f>"Controle "&amp;A42</f>
        <v>Controle 14</v>
      </c>
      <c r="C42">
        <f>MATCH(B42,Cue!H:H,0)</f>
        <v>327</v>
      </c>
      <c r="D42" s="16">
        <f>INDEX(Cue!A:A,C42)</f>
        <v>494</v>
      </c>
      <c r="E42" t="str">
        <f>LEFT(INDEX(Cue!E:E,C42),30)</f>
        <v>Controle Mifflintown Plaza on </v>
      </c>
      <c r="G42" s="17" t="s">
        <v>3013</v>
      </c>
      <c r="H42" s="26" t="str">
        <f>B42&amp;" "&amp;G42</f>
        <v>Controle 14 Tom's (717) 436-8943</v>
      </c>
      <c r="I42" s="25" t="str">
        <f>A42&amp;" "&amp;G42&amp;"
"&amp;H43&amp;"
"&amp;H44&amp;LEFT(F43,8)</f>
        <v>14 Tom's (717) 436-8943
1 Stop 35 Plaza, Mifflintown, PA
close: Not Timed (on pace:  08/10 13:04)  494mi </v>
      </c>
    </row>
    <row r="43" spans="4:8" ht="16.5">
      <c r="D43" s="16">
        <f>(D42-D39)*(200/124)</f>
        <v>76.61290322580645</v>
      </c>
      <c r="F43" s="36" t="s">
        <v>1082</v>
      </c>
      <c r="G43" s="17" t="s">
        <v>3014</v>
      </c>
      <c r="H43" s="26" t="str">
        <f>G43</f>
        <v>1 Stop 35 Plaza, Mifflintown, PA</v>
      </c>
    </row>
    <row r="44" spans="4:8" ht="16.5">
      <c r="D44" s="16"/>
      <c r="F44" s="36" t="s">
        <v>1083</v>
      </c>
      <c r="H44" s="26" t="str">
        <f>"close: Not Timed (on pace: "&amp;RIGHT(F44,12)&amp;")"</f>
        <v>close: Not Timed (on pace:  08/10 13:04)</v>
      </c>
    </row>
    <row r="45" spans="1:9" ht="45">
      <c r="A45">
        <f>A42+1</f>
        <v>15</v>
      </c>
      <c r="B45" t="str">
        <f>"Controle "&amp;A45</f>
        <v>Controle 15</v>
      </c>
      <c r="C45">
        <f>MATCH(B45,Cue!H:H,0)</f>
        <v>347</v>
      </c>
      <c r="D45" s="16">
        <f>INDEX(Cue!A:A,C45)</f>
        <v>533.9</v>
      </c>
      <c r="E45" t="str">
        <f>LEFT(INDEX(Cue!E:E,C45),30)</f>
        <v>Controle Sheetz on left Jct. W</v>
      </c>
      <c r="G45" s="17" t="s">
        <v>3011</v>
      </c>
      <c r="H45" s="26" t="str">
        <f>B45&amp;" "&amp;G45</f>
        <v>Controle 15 Sheetz (814) 542-8561</v>
      </c>
      <c r="I45" s="25" t="str">
        <f>A45&amp;" "&amp;G45&amp;"
"&amp;H46&amp;"
"&amp;H47&amp;LEFT(F46,8)</f>
        <v>15 Sheetz (814) 542-8561
201 N Jefferson St, Mt Union, PA
open: 08/09 08:03  close: 08/10 18:40  534mi </v>
      </c>
    </row>
    <row r="46" spans="4:8" ht="16.5">
      <c r="D46" s="16">
        <f>(D45-D42)*(200/124)</f>
        <v>64.35483870967738</v>
      </c>
      <c r="F46" s="36" t="s">
        <v>1084</v>
      </c>
      <c r="G46" s="17" t="s">
        <v>3012</v>
      </c>
      <c r="H46" s="26" t="str">
        <f>G46</f>
        <v>201 N Jefferson St, Mt Union, PA</v>
      </c>
    </row>
    <row r="47" spans="4:8" ht="16.5">
      <c r="D47" s="16"/>
      <c r="F47" s="36" t="s">
        <v>1085</v>
      </c>
      <c r="H47" s="26" t="str">
        <f>RIGHT(F46,17)&amp;"  "&amp;RIGHT(F47,18)</f>
        <v>open: 08/09 08:03  close: 08/10 18:40</v>
      </c>
    </row>
    <row r="48" spans="1:9" ht="45">
      <c r="A48">
        <f>A45+1</f>
        <v>16</v>
      </c>
      <c r="B48" t="str">
        <f>"Controle "&amp;A48</f>
        <v>Controle 16</v>
      </c>
      <c r="C48">
        <f>MATCH(B48,Cue!H:H,0)</f>
        <v>371</v>
      </c>
      <c r="D48" s="16">
        <f>INDEX(Cue!A:A,C48)</f>
        <v>571.8</v>
      </c>
      <c r="E48" t="str">
        <f>LEFT(INDEX(Cue!E:E,C48),30)</f>
        <v>Controle Shell MiniMart at TFL</v>
      </c>
      <c r="G48" s="17" t="s">
        <v>811</v>
      </c>
      <c r="H48" s="26" t="str">
        <f>B48&amp;" "&amp;G48</f>
        <v>Controle 16 Pine Grove Mills Shellmore (814) 238-9090</v>
      </c>
      <c r="I48" s="25" t="str">
        <f>A48&amp;" "&amp;G48&amp;"
"&amp;H49&amp;"
"&amp;H50&amp;LEFT(F49,8)</f>
        <v>16 Pine Grove Mills Shellmore (814) 238-9090
103 Water Street, Pine Grove Mills, PA
open: 08/09 10:16  close: 08/11 00:05  572mi </v>
      </c>
    </row>
    <row r="49" spans="4:8" ht="16.5">
      <c r="D49" s="16">
        <f>(D48-D45)*(200/124)</f>
        <v>61.12903225806448</v>
      </c>
      <c r="F49" s="36" t="s">
        <v>1086</v>
      </c>
      <c r="G49" s="17" t="s">
        <v>812</v>
      </c>
      <c r="H49" s="26" t="str">
        <f>G49</f>
        <v>103 Water Street, Pine Grove Mills, PA</v>
      </c>
    </row>
    <row r="50" spans="4:8" ht="16.5">
      <c r="D50" s="16"/>
      <c r="F50" s="36" t="s">
        <v>1087</v>
      </c>
      <c r="H50" s="26" t="str">
        <f>RIGHT(F49,17)&amp;"  "&amp;RIGHT(F50,18)</f>
        <v>open: 08/09 10:16  close: 08/11 00:05</v>
      </c>
    </row>
    <row r="51" spans="1:9" ht="45">
      <c r="A51">
        <f>A48+1</f>
        <v>17</v>
      </c>
      <c r="B51" t="str">
        <f>"Controle "&amp;A51</f>
        <v>Controle 17</v>
      </c>
      <c r="C51">
        <f>MATCH(B51,Cue!H:H,0)</f>
        <v>384</v>
      </c>
      <c r="D51" s="16">
        <f>INDEX(Cue!A:A,C51)</f>
        <v>600.5</v>
      </c>
      <c r="E51" t="str">
        <f>LEFT(INDEX(Cue!E:E,C51),30)</f>
        <v>Controle Rebersburg Monument o</v>
      </c>
      <c r="G51" s="17" t="s">
        <v>1918</v>
      </c>
      <c r="H51" s="26" t="str">
        <f>B51&amp;" "&amp;G51</f>
        <v>Controle 17 Rebersburg Monument</v>
      </c>
      <c r="I51" s="25" t="str">
        <f>A51&amp;" "&amp;G51&amp;"
"&amp;H52&amp;"
"&amp;H53&amp;LEFT(F52,8)</f>
        <v>17 Rebersburg Monument
Jct Rt 192 and Walnut St, Rebersburg, PA
close: Not Timed (on pace:  08/11 04:02)  600mi </v>
      </c>
    </row>
    <row r="52" spans="4:8" ht="16.5">
      <c r="D52" s="16">
        <f>(D51-D48)*(200/124)</f>
        <v>46.29032258064523</v>
      </c>
      <c r="F52" s="36" t="s">
        <v>1088</v>
      </c>
      <c r="G52" s="17" t="s">
        <v>1919</v>
      </c>
      <c r="H52" s="26" t="str">
        <f>G52</f>
        <v>Jct Rt 192 and Walnut St, Rebersburg, PA</v>
      </c>
    </row>
    <row r="53" spans="4:8" ht="16.5">
      <c r="D53" s="16"/>
      <c r="F53" s="36" t="s">
        <v>1089</v>
      </c>
      <c r="H53" s="26" t="str">
        <f>"close: Not Timed (on pace: "&amp;RIGHT(F53,12)&amp;")"</f>
        <v>close: Not Timed (on pace:  08/11 04:02)</v>
      </c>
    </row>
    <row r="54" spans="1:9" ht="45">
      <c r="A54">
        <f>A51+1</f>
        <v>18</v>
      </c>
      <c r="B54" t="str">
        <f>"Controle "&amp;A54</f>
        <v>Controle 18</v>
      </c>
      <c r="C54">
        <f>MATCH(B54,Cue!H:H,0)</f>
        <v>394</v>
      </c>
      <c r="D54" s="16">
        <f>INDEX(Cue!A:A,C54)</f>
        <v>633.2</v>
      </c>
      <c r="E54" t="str">
        <f>LEFT(INDEX(Cue!E:E,C54),30)</f>
        <v>Controle Lewisburg Country Inn</v>
      </c>
      <c r="G54" s="17" t="s">
        <v>2369</v>
      </c>
      <c r="H54" s="26" t="str">
        <f>B54&amp;" "&amp;G54</f>
        <v>Controle 18 Country Inn &amp; Suites (570) 524-6600</v>
      </c>
      <c r="I54" s="25" t="str">
        <f>A54&amp;" "&amp;G54&amp;"
"&amp;H55&amp;"
"&amp;H56&amp;LEFT(F55,8)</f>
        <v>18 Country Inn &amp; Suites (570) 524-6600
134 Walter Dr, Lewisburg, PA
open: 08/09 13:49  close: 08/11 08:26  633mi </v>
      </c>
    </row>
    <row r="55" spans="4:8" ht="16.5">
      <c r="D55" s="16">
        <f>(D54-D51)*(200/124)</f>
        <v>52.74193548387104</v>
      </c>
      <c r="F55" s="36" t="s">
        <v>1090</v>
      </c>
      <c r="G55" s="17" t="s">
        <v>2370</v>
      </c>
      <c r="H55" s="26" t="str">
        <f>G55</f>
        <v>134 Walter Dr, Lewisburg, PA</v>
      </c>
    </row>
    <row r="56" spans="4:8" ht="16.5">
      <c r="D56" s="16"/>
      <c r="F56" s="36" t="s">
        <v>1091</v>
      </c>
      <c r="H56" s="26" t="str">
        <f>RIGHT(F55,17)&amp;"  "&amp;RIGHT(F56,18)</f>
        <v>open: 08/09 13:49  close: 08/11 08:26</v>
      </c>
    </row>
    <row r="57" spans="1:9" ht="45">
      <c r="A57">
        <f>A54+1</f>
        <v>19</v>
      </c>
      <c r="B57" t="str">
        <f>"Controle "&amp;A57</f>
        <v>Controle 19</v>
      </c>
      <c r="C57">
        <f>MATCH(B57,Cue!H:H,0)</f>
        <v>411</v>
      </c>
      <c r="D57" s="16">
        <f>INDEX(Cue!A:A,C57)</f>
        <v>660.2</v>
      </c>
      <c r="E57" t="str">
        <f>LEFT(INDEX(Cue!E:E,C57),30)</f>
        <v>Controle Sunoco A-Plus Mart on</v>
      </c>
      <c r="G57" s="27" t="s">
        <v>813</v>
      </c>
      <c r="H57" s="26" t="str">
        <f>B57&amp;" "&amp;G57</f>
        <v>Controle 19 Sunoco A-Plus (570) 758-9107</v>
      </c>
      <c r="I57" s="25" t="str">
        <f>A57&amp;" "&amp;G57&amp;"
"&amp;H58&amp;"
"&amp;H59&amp;LEFT(F58,8)</f>
        <v>19 Sunoco A-Plus (570) 758-9107
Rts 147 and 225, Herndon, PA
close: Not Timed (on pace:  08/11 11:35)  659mi </v>
      </c>
    </row>
    <row r="58" spans="4:8" ht="16.5">
      <c r="D58" s="16">
        <f>(D57-D54)*(200/124)</f>
        <v>43.54838709677419</v>
      </c>
      <c r="F58" s="36" t="s">
        <v>1092</v>
      </c>
      <c r="G58" s="17" t="s">
        <v>814</v>
      </c>
      <c r="H58" s="26" t="str">
        <f>G58</f>
        <v>Rts 147 and 225, Herndon, PA</v>
      </c>
    </row>
    <row r="59" spans="4:8" ht="16.5">
      <c r="D59" s="16"/>
      <c r="F59" s="36" t="s">
        <v>1093</v>
      </c>
      <c r="H59" s="26" t="str">
        <f>"close: Not Timed (on pace: "&amp;RIGHT(F59,12)&amp;")"</f>
        <v>close: Not Timed (on pace:  08/11 11:35)</v>
      </c>
    </row>
    <row r="60" spans="1:9" ht="45">
      <c r="A60">
        <f>A57+1</f>
        <v>20</v>
      </c>
      <c r="B60" t="str">
        <f>"Controle "&amp;A60</f>
        <v>Controle 20</v>
      </c>
      <c r="C60">
        <f>MATCH(B60,Cue!H:H,0)</f>
        <v>439</v>
      </c>
      <c r="D60" s="16">
        <f>INDEX(Cue!A:A,C60)</f>
        <v>700.8</v>
      </c>
      <c r="E60" t="str">
        <f>LEFT(INDEX(Cue!E:E,C60),30)</f>
        <v>Controle Flying-J Truck Stop (</v>
      </c>
      <c r="G60" s="17" t="s">
        <v>1587</v>
      </c>
      <c r="H60" s="26" t="str">
        <f>B60&amp;" "&amp;G60</f>
        <v>Controle 20 Flying J Truck Stop (717) 933-4146</v>
      </c>
      <c r="I60" s="25" t="str">
        <f>A60&amp;" "&amp;G60&amp;"
"&amp;H61&amp;"
"&amp;H62&amp;LEFT(F61,8)</f>
        <v>20 Flying J Truck Stop (717) 933-4146
2210 Camp Swatara Rd / Rt 645, Frystown, PA 
open: 08/09 17:54  close: 08/11 16:23  699mi </v>
      </c>
    </row>
    <row r="61" spans="4:8" ht="16.5">
      <c r="D61" s="16">
        <f>(D60-D57)*(200/124)</f>
        <v>65.48387096774178</v>
      </c>
      <c r="F61" s="36" t="s">
        <v>1094</v>
      </c>
      <c r="G61" s="17" t="s">
        <v>1588</v>
      </c>
      <c r="H61" s="26" t="str">
        <f>G61</f>
        <v>2210 Camp Swatara Rd / Rt 645, Frystown, PA </v>
      </c>
    </row>
    <row r="62" spans="4:8" ht="16.5">
      <c r="D62" s="16"/>
      <c r="F62" s="36" t="s">
        <v>1095</v>
      </c>
      <c r="H62" s="26" t="str">
        <f>RIGHT(F61,17)&amp;"  "&amp;RIGHT(F62,18)</f>
        <v>open: 08/09 17:54  close: 08/11 16:23</v>
      </c>
    </row>
    <row r="63" spans="1:9" ht="45">
      <c r="A63">
        <f>A60+1</f>
        <v>21</v>
      </c>
      <c r="B63" t="str">
        <f>"Controle "&amp;A63</f>
        <v>Controle 21</v>
      </c>
      <c r="C63">
        <f>MATCH(B63,Cue!H:H,0)</f>
        <v>472</v>
      </c>
      <c r="D63" s="16">
        <f>INDEX(Cue!A:A,C63)</f>
        <v>733</v>
      </c>
      <c r="E63" t="str">
        <f>LEFT(INDEX(Cue!E:E,C63),30)</f>
        <v>Controle Virginville Post Offi</v>
      </c>
      <c r="G63" s="17" t="s">
        <v>1585</v>
      </c>
      <c r="H63" s="26" t="str">
        <f>B63&amp;" "&amp;G63</f>
        <v>Controle 21 US Post Office (610) 562-5577</v>
      </c>
      <c r="I63" s="25" t="str">
        <f>A63&amp;" "&amp;G63&amp;"
"&amp;H64&amp;"
"&amp;H65&amp;LEFT(F64,8)</f>
        <v>21 US Post Office (610) 562-5577
475 Main St., Virginville, PA
close: Not Timed (on pace:  08/11 20:21)  732mi </v>
      </c>
    </row>
    <row r="64" spans="4:8" ht="16.5">
      <c r="D64" s="16">
        <f>(D63-D60)*(200/124)</f>
        <v>51.935483870967815</v>
      </c>
      <c r="F64" s="36" t="s">
        <v>1933</v>
      </c>
      <c r="G64" s="17" t="s">
        <v>1586</v>
      </c>
      <c r="H64" s="26" t="str">
        <f>G64</f>
        <v>475 Main St., Virginville, PA</v>
      </c>
    </row>
    <row r="65" spans="4:8" ht="16.5">
      <c r="D65" s="16"/>
      <c r="F65" s="36" t="s">
        <v>1934</v>
      </c>
      <c r="H65" s="26" t="str">
        <f>"close: Not Timed (on pace: "&amp;RIGHT(F65,12)&amp;")"</f>
        <v>close: Not Timed (on pace:  08/11 20:21)</v>
      </c>
    </row>
    <row r="66" spans="1:9" ht="45">
      <c r="A66">
        <f>A63+1</f>
        <v>22</v>
      </c>
      <c r="B66" t="str">
        <f>"Controle "&amp;A66</f>
        <v>Controle 22</v>
      </c>
      <c r="C66">
        <f>MATCH(B66,Cue!H:H,0)</f>
        <v>507</v>
      </c>
      <c r="D66" s="16">
        <f>INDEX(Cue!A:A,C66)</f>
        <v>772.2</v>
      </c>
      <c r="E66" t="str">
        <f>LEFT(INDEX(Cue!E:E,C66),30)</f>
        <v>Controle Hampton Inn (on right</v>
      </c>
      <c r="G66" s="17" t="s">
        <v>840</v>
      </c>
      <c r="H66" s="26" t="str">
        <f>B66&amp;" "&amp;G66</f>
        <v>Controle 22 Hampton Inn Quakertown (215) 536-7779</v>
      </c>
      <c r="I66" s="25" t="str">
        <f>A66&amp;" "&amp;G66&amp;"
"&amp;H67&amp;"
"&amp;H68&amp;LEFT(F67,8)</f>
        <v>22 Hampton Inn Quakertown (215) 536-7779
1915 John Fries Hwy / Rt 663, Quakertown, PA
open: 08/09 22:19  close: 08/12 01:00  771mi </v>
      </c>
    </row>
    <row r="67" spans="4:8" ht="16.5">
      <c r="D67" s="16">
        <f>(D66-D63)*(200/124)</f>
        <v>63.225806451612975</v>
      </c>
      <c r="F67" s="36" t="s">
        <v>1935</v>
      </c>
      <c r="G67" s="17" t="s">
        <v>841</v>
      </c>
      <c r="H67" s="26" t="str">
        <f>G67</f>
        <v>1915 John Fries Hwy / Rt 663, Quakertown, PA</v>
      </c>
    </row>
    <row r="68" spans="4:8" ht="16.5">
      <c r="D68" s="16"/>
      <c r="F68" s="36" t="s">
        <v>1936</v>
      </c>
      <c r="H68" s="26" t="str">
        <f>RIGHT(F67,17)&amp;"  "&amp;RIGHT(F68,18)</f>
        <v>open: 08/09 22:19  close: 08/12 01:00</v>
      </c>
    </row>
    <row r="71" ht="15">
      <c r="D71" s="16">
        <f>MAX(D67,D64,D61,D58,D55,D52,D49,D46,D43,D40,D37,D34,D31,D28,D25,D22,D19,D16,D13,D10,D7)</f>
        <v>82.25806451612902</v>
      </c>
    </row>
    <row r="72" ht="15">
      <c r="G72" s="17" t="s">
        <v>1977</v>
      </c>
    </row>
    <row r="73" ht="15">
      <c r="G73" s="17" t="s">
        <v>1978</v>
      </c>
    </row>
    <row r="75" ht="15">
      <c r="G75" s="17" t="s">
        <v>811</v>
      </c>
    </row>
    <row r="76" ht="15">
      <c r="G76" s="17" t="s">
        <v>812</v>
      </c>
    </row>
    <row r="78" ht="15">
      <c r="G78" s="17" t="s">
        <v>3011</v>
      </c>
    </row>
    <row r="79" ht="15">
      <c r="G79" s="17" t="s">
        <v>3012</v>
      </c>
    </row>
    <row r="81" ht="15">
      <c r="G81" s="17" t="s">
        <v>3013</v>
      </c>
    </row>
    <row r="82" ht="15">
      <c r="G82" s="17" t="s">
        <v>3014</v>
      </c>
    </row>
    <row r="83" ht="15">
      <c r="G83" s="26" t="s">
        <v>387</v>
      </c>
    </row>
    <row r="84" ht="15">
      <c r="G84" s="26" t="s">
        <v>388</v>
      </c>
    </row>
    <row r="85" ht="15">
      <c r="G85" s="26"/>
    </row>
    <row r="86" ht="15">
      <c r="G86" s="26"/>
    </row>
    <row r="87" ht="15">
      <c r="G87" s="26" t="s">
        <v>1271</v>
      </c>
    </row>
    <row r="88" ht="15">
      <c r="G88" s="26" t="s">
        <v>386</v>
      </c>
    </row>
    <row r="92" ht="15">
      <c r="G92" s="17" t="s">
        <v>3011</v>
      </c>
    </row>
    <row r="93" ht="15">
      <c r="G93" s="17" t="s">
        <v>3012</v>
      </c>
    </row>
    <row r="98" ht="15">
      <c r="G98" s="17" t="s">
        <v>3013</v>
      </c>
    </row>
    <row r="99" ht="15">
      <c r="G99" s="17" t="s">
        <v>3014</v>
      </c>
    </row>
    <row r="101" ht="15">
      <c r="G101" s="26" t="s">
        <v>360</v>
      </c>
    </row>
    <row r="102" ht="15">
      <c r="G102" s="26" t="s">
        <v>361</v>
      </c>
    </row>
    <row r="104" ht="15">
      <c r="G104" s="17" t="s">
        <v>842</v>
      </c>
    </row>
    <row r="105" ht="15">
      <c r="G105" s="17" t="s">
        <v>260</v>
      </c>
    </row>
    <row r="109" ht="15">
      <c r="G109" s="17" t="s">
        <v>806</v>
      </c>
    </row>
    <row r="110" ht="15">
      <c r="G110" s="17" t="s">
        <v>807</v>
      </c>
    </row>
    <row r="111" ht="15">
      <c r="G111" s="17" t="s">
        <v>808</v>
      </c>
    </row>
    <row r="112" ht="15">
      <c r="G112" s="17" t="s">
        <v>809</v>
      </c>
    </row>
    <row r="115" ht="15">
      <c r="G115" s="17" t="s">
        <v>815</v>
      </c>
    </row>
    <row r="116" ht="15">
      <c r="G116" s="17" t="s">
        <v>816</v>
      </c>
    </row>
    <row r="117" ht="15">
      <c r="G117" s="17" t="s">
        <v>817</v>
      </c>
    </row>
    <row r="118" ht="15">
      <c r="G118" s="17" t="s">
        <v>818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75" zoomScaleSheetLayoutView="75" workbookViewId="0" topLeftCell="A4">
      <selection activeCell="J7" sqref="J7"/>
    </sheetView>
  </sheetViews>
  <sheetFormatPr defaultColWidth="8.88671875" defaultRowHeight="15"/>
  <cols>
    <col min="1" max="1" width="48.77734375" style="35" customWidth="1"/>
    <col min="2" max="2" width="14.77734375" style="35" customWidth="1"/>
    <col min="3" max="3" width="9.77734375" style="35" customWidth="1"/>
    <col min="4" max="7" width="12.77734375" style="35" customWidth="1"/>
    <col min="8" max="8" width="14.77734375" style="35" customWidth="1"/>
    <col min="9" max="16384" width="8.88671875" style="35" customWidth="1"/>
  </cols>
  <sheetData>
    <row r="1" spans="1:8" ht="49.5" customHeight="1">
      <c r="A1" s="33" t="str">
        <f>Controle!I$3</f>
        <v>1 Hampton Inn Quakertown (215) 536-7779
1915 John Fries Hwy / Rt 663, Quakertown, PA
start: 08/08 04:00 0mi</v>
      </c>
      <c r="B1" s="34" t="s">
        <v>74</v>
      </c>
      <c r="D1" s="65" t="str">
        <f>Controle!I39</f>
        <v>13 Country Inn &amp; Suites (570) 524-6600
134 Walter Dr, Lewisburg, PA
open: 08/09 03:01  close: 08/10 06:20  446mi </v>
      </c>
      <c r="E1" s="66"/>
      <c r="F1" s="66"/>
      <c r="G1" s="66"/>
      <c r="H1" s="34" t="s">
        <v>328</v>
      </c>
    </row>
    <row r="2" spans="1:8" ht="49.5" customHeight="1">
      <c r="A2" s="33" t="str">
        <f>Controle!I$6</f>
        <v>2 Shell Station (610) 767-3786
4024 Mountain View Dr / Rt 946, Danielsville, PA
open: 08/08 05:42  close: 08/08 07:52   36mi </v>
      </c>
      <c r="B2" s="34" t="s">
        <v>328</v>
      </c>
      <c r="D2" s="65" t="str">
        <f>Controle!I42</f>
        <v>14 Tom's (717) 436-8943
1 Stop 35 Plaza, Mifflintown, PA
close: Not Timed (on pace:  08/10 13:04)  494mi </v>
      </c>
      <c r="E2" s="66"/>
      <c r="F2" s="66"/>
      <c r="G2" s="66"/>
      <c r="H2" s="34" t="s">
        <v>75</v>
      </c>
    </row>
    <row r="3" spans="1:8" ht="49.5" customHeight="1">
      <c r="A3" s="33" t="str">
        <f>Controle!I9</f>
        <v>3 Gourmet Gallery (908) 362-0051
31 Main St, Blairstown, NJ
open: 08/08 07:58  close: 08/08 13:00   84mi </v>
      </c>
      <c r="B3" s="34" t="s">
        <v>328</v>
      </c>
      <c r="D3" s="65" t="str">
        <f>Controle!I45</f>
        <v>15 Sheetz (814) 542-8561
201 N Jefferson St, Mt Union, PA
open: 08/09 08:03  close: 08/10 18:40  534mi </v>
      </c>
      <c r="E3" s="66"/>
      <c r="F3" s="66"/>
      <c r="G3" s="66"/>
      <c r="H3" s="34" t="s">
        <v>328</v>
      </c>
    </row>
    <row r="4" spans="1:8" ht="49.5" customHeight="1">
      <c r="A4" s="33" t="str">
        <f>Controle!I12</f>
        <v>4 Muller's Port Jervis Diner (845) 856-7978
41 East Main St / Rt 6, Port Jervis, NY
open: 08/08 09:46  close: 08/08 17:04  122mi </v>
      </c>
      <c r="B4" s="34" t="s">
        <v>328</v>
      </c>
      <c r="D4" s="65" t="str">
        <f>Controle!I48</f>
        <v>16 Pine Grove Mills Shellmore (814) 238-9090
103 Water Street, Pine Grove Mills, PA
open: 08/09 10:16  close: 08/11 00:05  572mi </v>
      </c>
      <c r="E4" s="66"/>
      <c r="F4" s="66"/>
      <c r="G4" s="66"/>
      <c r="H4" s="34" t="s">
        <v>328</v>
      </c>
    </row>
    <row r="5" spans="1:8" ht="49.5" customHeight="1">
      <c r="A5" s="33" t="str">
        <f>Controle!I15</f>
        <v>5 The Corner (845) 557-3321
577 Rt 55, Eldred, NY
open: 08/08 10:38  close: 08/08 18:56  139mi </v>
      </c>
      <c r="B5" s="34" t="s">
        <v>328</v>
      </c>
      <c r="D5" s="65" t="str">
        <f>Controle!I51</f>
        <v>17 Rebersburg Monument
Jct Rt 192 and Walnut St, Rebersburg, PA
close: Not Timed (on pace:  08/11 04:02)  600mi </v>
      </c>
      <c r="E5" s="66"/>
      <c r="F5" s="66"/>
      <c r="G5" s="66"/>
      <c r="H5" s="34" t="s">
        <v>76</v>
      </c>
    </row>
    <row r="6" spans="1:8" ht="49.5" customHeight="1">
      <c r="A6" s="33" t="str">
        <f>Controle!I18</f>
        <v>6 Dunkin Donuts (570) 282-3364
40 S. Main St., Carbondale, PA
open: 08/08 13:12  close: 08/09 00:24  190mi </v>
      </c>
      <c r="B6" s="34" t="s">
        <v>328</v>
      </c>
      <c r="D6" s="65" t="str">
        <f>Controle!I54</f>
        <v>18 Country Inn &amp; Suites (570) 524-6600
134 Walter Dr, Lewisburg, PA
open: 08/09 13:49  close: 08/11 08:26  633mi </v>
      </c>
      <c r="E6" s="66"/>
      <c r="F6" s="66"/>
      <c r="G6" s="66"/>
      <c r="H6" s="34" t="s">
        <v>328</v>
      </c>
    </row>
    <row r="7" spans="1:8" ht="49.5" customHeight="1">
      <c r="A7" s="33" t="str">
        <f>Controle!I21</f>
        <v>7 Colonial Brick Inn &amp; Suites (570) 879-2162
Rt 11 &amp; I-81 at Exit 230, Hallstead, PA
open: 08/08 14:53  close: 08/09 04:00  224mi </v>
      </c>
      <c r="B7" s="34" t="s">
        <v>328</v>
      </c>
      <c r="D7" s="65" t="str">
        <f>Controle!I57</f>
        <v>19 Sunoco A-Plus (570) 758-9107
Rts 147 and 225, Herndon, PA
close: Not Timed (on pace:  08/11 11:35)  659mi </v>
      </c>
      <c r="E7" s="66"/>
      <c r="F7" s="66"/>
      <c r="G7" s="66"/>
      <c r="H7" s="34" t="s">
        <v>75</v>
      </c>
    </row>
    <row r="8" spans="1:8" ht="49.5" customHeight="1">
      <c r="A8" s="33" t="str">
        <f>Controle!I24</f>
        <v>8 Dandy Mini Market (607) 699-3538
814 W River Rd, Nichols, NY
close: Not Timed (on pace:  08/09 09:04)  271mi </v>
      </c>
      <c r="B8" s="34" t="s">
        <v>75</v>
      </c>
      <c r="D8" s="65" t="str">
        <f>Controle!I60</f>
        <v>20 Flying J Truck Stop (717) 933-4146
2210 Camp Swatara Rd / Rt 645, Frystown, PA 
open: 08/09 17:54  close: 08/11 16:23  699mi </v>
      </c>
      <c r="E8" s="66"/>
      <c r="F8" s="66"/>
      <c r="G8" s="66"/>
      <c r="H8" s="34" t="s">
        <v>328</v>
      </c>
    </row>
    <row r="9" spans="1:8" ht="49.5" customHeight="1">
      <c r="A9" s="33" t="str">
        <f>Controle!I27</f>
        <v>9 Dandy Mini Mart 5 (570) 265-6380
474 Reuters Blvd, Towanda, PA
open: 08/08 18:38  close: 08/09 11:40  295mi </v>
      </c>
      <c r="B9" s="34" t="s">
        <v>328</v>
      </c>
      <c r="D9" s="65" t="str">
        <f>Controle!I63</f>
        <v>21 US Post Office (610) 562-5577
475 Main St., Virginville, PA
close: Not Timed (on pace:  08/11 20:21)  732mi </v>
      </c>
      <c r="E9" s="66"/>
      <c r="F9" s="66"/>
      <c r="G9" s="66"/>
      <c r="H9" s="34" t="s">
        <v>77</v>
      </c>
    </row>
    <row r="10" spans="1:8" ht="49.5" customHeight="1">
      <c r="A10" s="33" t="str">
        <f>Controle!I30</f>
        <v>10 Acorn Market (570) 673-8404 
44 Main St, Canton, PA
open: 08/08 20:08  close: 08/09 14:40  323mi </v>
      </c>
      <c r="B10" s="34" t="s">
        <v>328</v>
      </c>
      <c r="D10" s="65" t="str">
        <f>Controle!I66</f>
        <v>22 Hampton Inn Quakertown (215) 536-7779
1915 John Fries Hwy / Rt 663, Quakertown, PA
open: 08/09 22:19  close: 08/12 01:00  771mi </v>
      </c>
      <c r="E10" s="66"/>
      <c r="F10" s="66"/>
      <c r="G10" s="66"/>
      <c r="H10" s="34" t="s">
        <v>328</v>
      </c>
    </row>
    <row r="11" spans="1:8" ht="49.5" customHeight="1">
      <c r="A11" s="33" t="str">
        <f>Controle!I33</f>
        <v>11 McConnell's Store (570) 753-8241
10853 Rt 44, Waterville, PA
open: 08/08 22:26  close: 08/09 19:16  366mi </v>
      </c>
      <c r="B11" s="34" t="s">
        <v>328</v>
      </c>
      <c r="D11" s="65"/>
      <c r="E11" s="66"/>
      <c r="F11" s="66"/>
      <c r="G11" s="66"/>
      <c r="H11" s="34" t="s">
        <v>328</v>
      </c>
    </row>
    <row r="12" spans="1:8" ht="49.5" customHeight="1">
      <c r="A12" s="33" t="str">
        <f>Controle!I36</f>
        <v>12 Flying J Travel Plaza (570) 726-4080
5609  Nittany Valley Dr / Rt 64, Lamar, PA
open: 08/09 00:33  close: 08/10 00:17  403mi </v>
      </c>
      <c r="B12" s="34" t="s">
        <v>328</v>
      </c>
      <c r="D12" s="34" t="s">
        <v>324</v>
      </c>
      <c r="E12" s="34" t="s">
        <v>325</v>
      </c>
      <c r="F12" s="34" t="s">
        <v>326</v>
      </c>
      <c r="G12" s="34" t="s">
        <v>327</v>
      </c>
      <c r="H12" s="34"/>
    </row>
    <row r="13" ht="60" customHeight="1"/>
    <row r="14" spans="1:8" ht="49.5" customHeight="1">
      <c r="A14" s="33" t="str">
        <f aca="true" t="shared" si="0" ref="A14:A19">IF(A1&lt;&gt;"",A1,"")</f>
        <v>1 Hampton Inn Quakertown (215) 536-7779
1915 John Fries Hwy / Rt 663, Quakertown, PA
start: 08/08 04:00 0mi</v>
      </c>
      <c r="B14" s="34" t="str">
        <f>B1</f>
        <v>Time:
         04:00</v>
      </c>
      <c r="D14" s="65" t="str">
        <f aca="true" t="shared" si="1" ref="D14:D24">IF(D1&lt;&gt;"",D1,"")</f>
        <v>13 Country Inn &amp; Suites (570) 524-6600
134 Walter Dr, Lewisburg, PA
open: 08/09 03:01  close: 08/10 06:20  446mi </v>
      </c>
      <c r="E14" s="66"/>
      <c r="F14" s="66"/>
      <c r="G14" s="66" t="e">
        <f>IF(#REF!&lt;&gt;"",#REF!,"")</f>
        <v>#REF!</v>
      </c>
      <c r="H14" s="34" t="str">
        <f>H1</f>
        <v>Time:
    </v>
      </c>
    </row>
    <row r="15" spans="1:8" ht="49.5" customHeight="1">
      <c r="A15" s="33" t="str">
        <f t="shared" si="0"/>
        <v>2 Shell Station (610) 767-3786
4024 Mountain View Dr / Rt 946, Danielsville, PA
open: 08/08 05:42  close: 08/08 07:52   36mi </v>
      </c>
      <c r="B15" s="34" t="str">
        <f aca="true" t="shared" si="2" ref="B15:B25">B2</f>
        <v>Time:
    </v>
      </c>
      <c r="D15" s="65" t="str">
        <f t="shared" si="1"/>
        <v>14 Tom's (717) 436-8943
1 Stop 35 Plaza, Mifflintown, PA
close: Not Timed (on pace:  08/10 13:04)  494mi </v>
      </c>
      <c r="E15" s="66"/>
      <c r="F15" s="66"/>
      <c r="G15" s="66" t="e">
        <f>IF(#REF!&lt;&gt;"",#REF!,"")</f>
        <v>#REF!</v>
      </c>
      <c r="H15" s="34" t="str">
        <f aca="true" t="shared" si="3" ref="H15:H24">H2</f>
        <v>What's the price of regular gas?</v>
      </c>
    </row>
    <row r="16" spans="1:8" ht="49.5" customHeight="1">
      <c r="A16" s="33" t="str">
        <f t="shared" si="0"/>
        <v>3 Gourmet Gallery (908) 362-0051
31 Main St, Blairstown, NJ
open: 08/08 07:58  close: 08/08 13:00   84mi </v>
      </c>
      <c r="B16" s="34" t="str">
        <f t="shared" si="2"/>
        <v>Time:
    </v>
      </c>
      <c r="D16" s="65" t="str">
        <f t="shared" si="1"/>
        <v>15 Sheetz (814) 542-8561
201 N Jefferson St, Mt Union, PA
open: 08/09 08:03  close: 08/10 18:40  534mi </v>
      </c>
      <c r="E16" s="66"/>
      <c r="F16" s="66"/>
      <c r="G16" s="66" t="e">
        <f>IF(#REF!&lt;&gt;"",#REF!,"")</f>
        <v>#REF!</v>
      </c>
      <c r="H16" s="34" t="str">
        <f t="shared" si="3"/>
        <v>Time:
    </v>
      </c>
    </row>
    <row r="17" spans="1:8" ht="49.5" customHeight="1">
      <c r="A17" s="33" t="str">
        <f t="shared" si="0"/>
        <v>4 Muller's Port Jervis Diner (845) 856-7978
41 East Main St / Rt 6, Port Jervis, NY
open: 08/08 09:46  close: 08/08 17:04  122mi </v>
      </c>
      <c r="B17" s="34" t="str">
        <f t="shared" si="2"/>
        <v>Time:
    </v>
      </c>
      <c r="D17" s="65" t="str">
        <f t="shared" si="1"/>
        <v>16 Pine Grove Mills Shellmore (814) 238-9090
103 Water Street, Pine Grove Mills, PA
open: 08/09 10:16  close: 08/11 00:05  572mi </v>
      </c>
      <c r="E17" s="66"/>
      <c r="F17" s="66"/>
      <c r="G17" s="66" t="e">
        <f>IF(#REF!&lt;&gt;"",#REF!,"")</f>
        <v>#REF!</v>
      </c>
      <c r="H17" s="34" t="str">
        <f t="shared" si="3"/>
        <v>Time:
    </v>
      </c>
    </row>
    <row r="18" spans="1:8" ht="49.5" customHeight="1">
      <c r="A18" s="33" t="str">
        <f t="shared" si="0"/>
        <v>5 The Corner (845) 557-3321
577 Rt 55, Eldred, NY
open: 08/08 10:38  close: 08/08 18:56  139mi </v>
      </c>
      <c r="B18" s="34" t="str">
        <f t="shared" si="2"/>
        <v>Time:
    </v>
      </c>
      <c r="D18" s="65" t="str">
        <f t="shared" si="1"/>
        <v>17 Rebersburg Monument
Jct Rt 192 and Walnut St, Rebersburg, PA
close: Not Timed (on pace:  08/11 04:02)  600mi </v>
      </c>
      <c r="E18" s="66"/>
      <c r="F18" s="66"/>
      <c r="G18" s="66" t="e">
        <f>IF(#REF!&lt;&gt;"",#REF!,"")</f>
        <v>#REF!</v>
      </c>
      <c r="H18" s="34" t="str">
        <f t="shared" si="3"/>
        <v>What year was Co. A mustered?</v>
      </c>
    </row>
    <row r="19" spans="1:8" ht="49.5" customHeight="1">
      <c r="A19" s="33" t="str">
        <f t="shared" si="0"/>
        <v>6 Dunkin Donuts (570) 282-3364
40 S. Main St., Carbondale, PA
open: 08/08 13:12  close: 08/09 00:24  190mi </v>
      </c>
      <c r="B19" s="34" t="str">
        <f t="shared" si="2"/>
        <v>Time:
    </v>
      </c>
      <c r="D19" s="65" t="str">
        <f t="shared" si="1"/>
        <v>18 Country Inn &amp; Suites (570) 524-6600
134 Walter Dr, Lewisburg, PA
open: 08/09 13:49  close: 08/11 08:26  633mi </v>
      </c>
      <c r="E19" s="66"/>
      <c r="F19" s="66"/>
      <c r="G19" s="66" t="e">
        <f>IF(#REF!&lt;&gt;"",#REF!,"")</f>
        <v>#REF!</v>
      </c>
      <c r="H19" s="34" t="str">
        <f t="shared" si="3"/>
        <v>Time:
    </v>
      </c>
    </row>
    <row r="20" spans="1:8" ht="49.5" customHeight="1">
      <c r="A20" s="33" t="str">
        <f aca="true" t="shared" si="4" ref="A20:A25">IF(A7&lt;&gt;"",A7,"")</f>
        <v>7 Colonial Brick Inn &amp; Suites (570) 879-2162
Rt 11 &amp; I-81 at Exit 230, Hallstead, PA
open: 08/08 14:53  close: 08/09 04:00  224mi </v>
      </c>
      <c r="B20" s="34" t="str">
        <f t="shared" si="2"/>
        <v>Time:
    </v>
      </c>
      <c r="D20" s="65" t="str">
        <f t="shared" si="1"/>
        <v>19 Sunoco A-Plus (570) 758-9107
Rts 147 and 225, Herndon, PA
close: Not Timed (on pace:  08/11 11:35)  659mi </v>
      </c>
      <c r="E20" s="66"/>
      <c r="F20" s="66"/>
      <c r="G20" s="66" t="e">
        <f>IF(#REF!&lt;&gt;"",#REF!,"")</f>
        <v>#REF!</v>
      </c>
      <c r="H20" s="34" t="str">
        <f t="shared" si="3"/>
        <v>What's the price of regular gas?</v>
      </c>
    </row>
    <row r="21" spans="1:8" ht="49.5" customHeight="1">
      <c r="A21" s="33" t="str">
        <f t="shared" si="4"/>
        <v>8 Dandy Mini Market (607) 699-3538
814 W River Rd, Nichols, NY
close: Not Timed (on pace:  08/09 09:04)  271mi </v>
      </c>
      <c r="B21" s="34" t="str">
        <f t="shared" si="2"/>
        <v>What's the price of regular gas?</v>
      </c>
      <c r="D21" s="65" t="str">
        <f t="shared" si="1"/>
        <v>20 Flying J Truck Stop (717) 933-4146
2210 Camp Swatara Rd / Rt 645, Frystown, PA 
open: 08/09 17:54  close: 08/11 16:23  699mi </v>
      </c>
      <c r="E21" s="66"/>
      <c r="F21" s="66"/>
      <c r="G21" s="66" t="e">
        <f>IF(#REF!&lt;&gt;"",#REF!,"")</f>
        <v>#REF!</v>
      </c>
      <c r="H21" s="34" t="str">
        <f t="shared" si="3"/>
        <v>Time:
    </v>
      </c>
    </row>
    <row r="22" spans="1:8" ht="49.5" customHeight="1">
      <c r="A22" s="33" t="str">
        <f t="shared" si="4"/>
        <v>9 Dandy Mini Mart 5 (570) 265-6380
474 Reuters Blvd, Towanda, PA
open: 08/08 18:38  close: 08/09 11:40  295mi </v>
      </c>
      <c r="B22" s="34" t="str">
        <f t="shared" si="2"/>
        <v>Time:
    </v>
      </c>
      <c r="D22" s="65" t="str">
        <f t="shared" si="1"/>
        <v>21 US Post Office (610) 562-5577
475 Main St., Virginville, PA
close: Not Timed (on pace:  08/11 20:21)  732mi </v>
      </c>
      <c r="E22" s="66"/>
      <c r="F22" s="66"/>
      <c r="G22" s="66" t="e">
        <f>IF(#REF!&lt;&gt;"",#REF!,"")</f>
        <v>#REF!</v>
      </c>
      <c r="H22" s="34" t="str">
        <f t="shared" si="3"/>
        <v>Mail Postcard</v>
      </c>
    </row>
    <row r="23" spans="1:8" ht="49.5" customHeight="1">
      <c r="A23" s="33" t="str">
        <f t="shared" si="4"/>
        <v>10 Acorn Market (570) 673-8404 
44 Main St, Canton, PA
open: 08/08 20:08  close: 08/09 14:40  323mi </v>
      </c>
      <c r="B23" s="34" t="str">
        <f t="shared" si="2"/>
        <v>Time:
    </v>
      </c>
      <c r="D23" s="65" t="str">
        <f t="shared" si="1"/>
        <v>22 Hampton Inn Quakertown (215) 536-7779
1915 John Fries Hwy / Rt 663, Quakertown, PA
open: 08/09 22:19  close: 08/12 01:00  771mi </v>
      </c>
      <c r="E23" s="66"/>
      <c r="F23" s="66"/>
      <c r="G23" s="66" t="e">
        <f>IF(#REF!&lt;&gt;"",#REF!,"")</f>
        <v>#REF!</v>
      </c>
      <c r="H23" s="34" t="str">
        <f t="shared" si="3"/>
        <v>Time:
    </v>
      </c>
    </row>
    <row r="24" spans="1:8" ht="49.5" customHeight="1">
      <c r="A24" s="33" t="str">
        <f t="shared" si="4"/>
        <v>11 McConnell's Store (570) 753-8241
10853 Rt 44, Waterville, PA
open: 08/08 22:26  close: 08/09 19:16  366mi </v>
      </c>
      <c r="B24" s="34" t="str">
        <f t="shared" si="2"/>
        <v>Time:
    </v>
      </c>
      <c r="D24" s="65">
        <f t="shared" si="1"/>
      </c>
      <c r="E24" s="66"/>
      <c r="F24" s="66"/>
      <c r="G24" s="66" t="e">
        <f>IF(#REF!&lt;&gt;"",#REF!,"")</f>
        <v>#REF!</v>
      </c>
      <c r="H24" s="34" t="str">
        <f t="shared" si="3"/>
        <v>Time:
    </v>
      </c>
    </row>
    <row r="25" spans="1:8" ht="49.5" customHeight="1">
      <c r="A25" s="33" t="str">
        <f t="shared" si="4"/>
        <v>12 Flying J Travel Plaza (570) 726-4080
5609  Nittany Valley Dr / Rt 64, Lamar, PA
open: 08/09 00:33  close: 08/10 00:17  403mi </v>
      </c>
      <c r="B25" s="34" t="str">
        <f t="shared" si="2"/>
        <v>Time:
    </v>
      </c>
      <c r="D25" s="34" t="s">
        <v>324</v>
      </c>
      <c r="E25" s="34" t="s">
        <v>325</v>
      </c>
      <c r="F25" s="34" t="s">
        <v>326</v>
      </c>
      <c r="G25" s="34" t="s">
        <v>327</v>
      </c>
      <c r="H25" s="34"/>
    </row>
  </sheetData>
  <mergeCells count="22">
    <mergeCell ref="D11:G11"/>
    <mergeCell ref="D20:G20"/>
    <mergeCell ref="D21:G21"/>
    <mergeCell ref="D22:G22"/>
    <mergeCell ref="D14:G14"/>
    <mergeCell ref="D15:G15"/>
    <mergeCell ref="D16:G16"/>
    <mergeCell ref="D24:G24"/>
    <mergeCell ref="D17:G17"/>
    <mergeCell ref="D18:G18"/>
    <mergeCell ref="D19:G19"/>
    <mergeCell ref="D23:G23"/>
    <mergeCell ref="D5:G5"/>
    <mergeCell ref="D7:G7"/>
    <mergeCell ref="D6:G6"/>
    <mergeCell ref="D10:G10"/>
    <mergeCell ref="D9:G9"/>
    <mergeCell ref="D8:G8"/>
    <mergeCell ref="D1:G1"/>
    <mergeCell ref="D2:G2"/>
    <mergeCell ref="D3:G3"/>
    <mergeCell ref="D4:G4"/>
  </mergeCells>
  <printOptions/>
  <pageMargins left="0.25" right="0.17" top="0.18" bottom="0.16" header="0" footer="0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5"/>
  <sheetViews>
    <sheetView workbookViewId="0" topLeftCell="A1">
      <selection activeCell="H2" sqref="H2"/>
    </sheetView>
  </sheetViews>
  <sheetFormatPr defaultColWidth="8.88671875" defaultRowHeight="15"/>
  <cols>
    <col min="2" max="2" width="5.6640625" style="0" customWidth="1"/>
    <col min="3" max="3" width="6.88671875" style="0" customWidth="1"/>
    <col min="4" max="5" width="7.10546875" style="0" customWidth="1"/>
    <col min="6" max="6" width="10.21484375" style="0" customWidth="1"/>
    <col min="7" max="7" width="24.6640625" style="0" customWidth="1"/>
  </cols>
  <sheetData>
    <row r="1" spans="1:10" ht="15">
      <c r="A1" t="s">
        <v>1629</v>
      </c>
      <c r="B1" t="s">
        <v>1656</v>
      </c>
      <c r="C1" t="s">
        <v>1613</v>
      </c>
      <c r="D1" t="s">
        <v>1614</v>
      </c>
      <c r="E1" t="s">
        <v>1617</v>
      </c>
      <c r="F1" t="s">
        <v>1625</v>
      </c>
      <c r="G1" t="s">
        <v>1615</v>
      </c>
      <c r="H1">
        <f>772.2</f>
        <v>772.2</v>
      </c>
      <c r="I1">
        <f ca="1">INDIRECT("D"&amp;COUNT(D:D)+1)</f>
        <v>768.2</v>
      </c>
      <c r="J1">
        <f>H1/I1</f>
        <v>1.0052069773496486</v>
      </c>
    </row>
    <row r="2" spans="1:10" ht="15">
      <c r="A2">
        <v>1</v>
      </c>
      <c r="B2">
        <v>2</v>
      </c>
      <c r="C2" t="str">
        <f>"Seg"&amp;A2&amp;"!"</f>
        <v>Seg1!</v>
      </c>
      <c r="D2">
        <f ca="1">INDIRECT($C2&amp;"L"&amp;$B2)</f>
        <v>0</v>
      </c>
      <c r="E2">
        <f>D2*$J$1</f>
        <v>0</v>
      </c>
      <c r="F2" t="str">
        <f ca="1">INDIRECT($C2&amp;"M"&amp;$B2)</f>
        <v> Start</v>
      </c>
      <c r="G2" t="str">
        <f ca="1">INDIRECT($C2&amp;"A"&amp;$B2)</f>
        <v>Controle Start - Leave driveway turning right onto Rt 663 {Breakfast 1-hr before start}</v>
      </c>
      <c r="H2">
        <f>FIND("{",G2)</f>
        <v>59</v>
      </c>
      <c r="I2" t="str">
        <f>IF(ISNUMBER(H2),LEFT(G2,H2-1),G2)</f>
        <v>Controle Start - Leave driveway turning right onto Rt 663 </v>
      </c>
      <c r="J2" t="str">
        <f>IF(ISNUMBER(H2),MID(G2,H2+1,LEN(G2)-H2-1),"")</f>
        <v>Breakfast 1-hr before start</v>
      </c>
    </row>
    <row r="3" spans="1:10" ht="15">
      <c r="A3">
        <f aca="true" ca="1" t="shared" si="0" ref="A3:A39">IF(INDIRECT($C2&amp;"A"&amp;$B2+1)&lt;&gt;"",A2,A2+1)</f>
        <v>1</v>
      </c>
      <c r="B3">
        <f aca="true" ca="1" t="shared" si="1" ref="B3:B39">IF(INDIRECT($C2&amp;"A"&amp;$B2+1)&lt;&gt;"",B2+1,3)</f>
        <v>3</v>
      </c>
      <c r="C3" t="str">
        <f aca="true" t="shared" si="2" ref="C3:C39">"Seg"&amp;A3&amp;"!"</f>
        <v>Seg1!</v>
      </c>
      <c r="D3">
        <f ca="1" t="shared" si="3" ref="D3:D66">INDIRECT($C3&amp;"L"&amp;$B3)</f>
        <v>0.33</v>
      </c>
      <c r="E3">
        <f>TRUNC(D3*$J$1,1)</f>
        <v>0.3</v>
      </c>
      <c r="F3" t="str">
        <f ca="1" t="shared" si="4" ref="F3:F66">INDIRECT($C3&amp;"M"&amp;$B3)</f>
        <v> B R</v>
      </c>
      <c r="G3" t="str">
        <f ca="1" t="shared" si="5" ref="G3:G66">INDIRECT($C3&amp;"A"&amp;$B3)</f>
        <v>Milford Square Pike (just before Exxon)</v>
      </c>
      <c r="H3" t="e">
        <f aca="true" t="shared" si="6" ref="H3:H66">FIND("{",G3)</f>
        <v>#VALUE!</v>
      </c>
      <c r="I3" t="str">
        <f aca="true" t="shared" si="7" ref="I3:I66">IF(ISNUMBER(H3),LEFT(G3,H3-1),G3)</f>
        <v>Milford Square Pike (just before Exxon)</v>
      </c>
      <c r="J3">
        <f aca="true" t="shared" si="8" ref="J3:J66">IF(ISNUMBER(H3),MID(G3,H3+1,LEN(G3)-H3-1),"")</f>
      </c>
    </row>
    <row r="4" spans="1:10" ht="15">
      <c r="A4">
        <f ca="1" t="shared" si="0"/>
        <v>1</v>
      </c>
      <c r="B4">
        <f ca="1" t="shared" si="1"/>
        <v>4</v>
      </c>
      <c r="C4" t="str">
        <f t="shared" si="2"/>
        <v>Seg1!</v>
      </c>
      <c r="D4">
        <f ca="1" t="shared" si="3"/>
        <v>0.37</v>
      </c>
      <c r="E4">
        <f aca="true" t="shared" si="9" ref="E4:E67">TRUNC(D4*$J$1,1)</f>
        <v>0.3</v>
      </c>
      <c r="F4" t="str">
        <f ca="1" t="shared" si="4"/>
        <v> Q TL</v>
      </c>
      <c r="G4" t="str">
        <f ca="1" t="shared" si="5"/>
        <v>TRO Milford Square Pike (towards Exxon)</v>
      </c>
      <c r="H4" t="e">
        <f t="shared" si="6"/>
        <v>#VALUE!</v>
      </c>
      <c r="I4" t="str">
        <f t="shared" si="7"/>
        <v>TRO Milford Square Pike (towards Exxon)</v>
      </c>
      <c r="J4">
        <f t="shared" si="8"/>
      </c>
    </row>
    <row r="5" spans="1:10" ht="15">
      <c r="A5">
        <f ca="1" t="shared" si="0"/>
        <v>1</v>
      </c>
      <c r="B5">
        <f ca="1" t="shared" si="1"/>
        <v>5</v>
      </c>
      <c r="C5" t="str">
        <f t="shared" si="2"/>
        <v>Seg1!</v>
      </c>
      <c r="D5">
        <f ca="1" t="shared" si="3"/>
        <v>0.95</v>
      </c>
      <c r="E5">
        <f t="shared" si="9"/>
        <v>0.9</v>
      </c>
      <c r="F5" t="str">
        <f ca="1" t="shared" si="4"/>
        <v> 1st L</v>
      </c>
      <c r="G5" t="str">
        <f ca="1" t="shared" si="5"/>
        <v>(SS) Allentown Rd (b/c Locust Valley Rd then Linden Rd ahead)</v>
      </c>
      <c r="H5" t="e">
        <f t="shared" si="6"/>
        <v>#VALUE!</v>
      </c>
      <c r="I5" t="str">
        <f t="shared" si="7"/>
        <v>(SS) Allentown Rd (b/c Locust Valley Rd then Linden Rd ahead)</v>
      </c>
      <c r="J5">
        <f t="shared" si="8"/>
      </c>
    </row>
    <row r="6" spans="1:10" ht="15">
      <c r="A6">
        <f ca="1" t="shared" si="0"/>
        <v>1</v>
      </c>
      <c r="B6">
        <f ca="1" t="shared" si="1"/>
        <v>6</v>
      </c>
      <c r="C6" t="str">
        <f t="shared" si="2"/>
        <v>Seg1!</v>
      </c>
      <c r="D6">
        <f ca="1" t="shared" si="3"/>
        <v>6.65</v>
      </c>
      <c r="E6">
        <f t="shared" si="9"/>
        <v>6.6</v>
      </c>
      <c r="F6" t="str">
        <f ca="1" t="shared" si="4"/>
        <v> L</v>
      </c>
      <c r="G6" t="str">
        <f ca="1" t="shared" si="5"/>
        <v>(SS) Main St [Coopersburg]</v>
      </c>
      <c r="H6" t="e">
        <f t="shared" si="6"/>
        <v>#VALUE!</v>
      </c>
      <c r="I6" t="str">
        <f t="shared" si="7"/>
        <v>(SS) Main St [Coopersburg]</v>
      </c>
      <c r="J6">
        <f t="shared" si="8"/>
      </c>
    </row>
    <row r="7" spans="1:10" ht="15">
      <c r="A7">
        <f ca="1" t="shared" si="0"/>
        <v>1</v>
      </c>
      <c r="B7">
        <f ca="1" t="shared" si="1"/>
        <v>7</v>
      </c>
      <c r="C7" t="str">
        <f t="shared" si="2"/>
        <v>Seg1!</v>
      </c>
      <c r="D7">
        <f ca="1" t="shared" si="3"/>
        <v>8.44</v>
      </c>
      <c r="E7">
        <f t="shared" si="9"/>
        <v>8.4</v>
      </c>
      <c r="F7" t="str">
        <f ca="1" t="shared" si="4"/>
        <v> X</v>
      </c>
      <c r="G7" t="str">
        <f ca="1" t="shared" si="5"/>
        <v>(TFL) Rt 309 b/c Rt 378</v>
      </c>
      <c r="H7" t="e">
        <f t="shared" si="6"/>
        <v>#VALUE!</v>
      </c>
      <c r="I7" t="str">
        <f t="shared" si="7"/>
        <v>(TFL) Rt 309 b/c Rt 378</v>
      </c>
      <c r="J7">
        <f t="shared" si="8"/>
      </c>
    </row>
    <row r="8" spans="1:10" ht="15">
      <c r="A8">
        <f ca="1" t="shared" si="0"/>
        <v>1</v>
      </c>
      <c r="B8">
        <f ca="1" t="shared" si="1"/>
        <v>8</v>
      </c>
      <c r="C8" t="str">
        <f t="shared" si="2"/>
        <v>Seg1!</v>
      </c>
      <c r="D8">
        <f ca="1" t="shared" si="3"/>
        <v>14.16</v>
      </c>
      <c r="E8">
        <f t="shared" si="9"/>
        <v>14.2</v>
      </c>
      <c r="F8" t="str">
        <f ca="1" t="shared" si="4"/>
        <v> R</v>
      </c>
      <c r="G8" t="str">
        <f ca="1" t="shared" si="5"/>
        <v>(TFL) Rt 412 / Broadway Ave {MiniiMarts Dunkin Donuts}</v>
      </c>
      <c r="H8">
        <f t="shared" si="6"/>
        <v>29</v>
      </c>
      <c r="I8" t="str">
        <f t="shared" si="7"/>
        <v>(TFL) Rt 412 / Broadway Ave </v>
      </c>
      <c r="J8" t="str">
        <f t="shared" si="8"/>
        <v>MiniiMarts Dunkin Donuts</v>
      </c>
    </row>
    <row r="9" spans="1:10" ht="15">
      <c r="A9">
        <f ca="1" t="shared" si="0"/>
        <v>1</v>
      </c>
      <c r="B9">
        <f ca="1" t="shared" si="1"/>
        <v>9</v>
      </c>
      <c r="C9" t="str">
        <f t="shared" si="2"/>
        <v>Seg1!</v>
      </c>
      <c r="D9">
        <f ca="1" t="shared" si="3"/>
        <v>14.33</v>
      </c>
      <c r="E9">
        <f t="shared" si="9"/>
        <v>14.4</v>
      </c>
      <c r="F9" t="str">
        <f ca="1" t="shared" si="4"/>
        <v> R</v>
      </c>
      <c r="G9" t="str">
        <f ca="1" t="shared" si="5"/>
        <v>(TFL) W 4th St </v>
      </c>
      <c r="H9" t="e">
        <f t="shared" si="6"/>
        <v>#VALUE!</v>
      </c>
      <c r="I9" t="str">
        <f t="shared" si="7"/>
        <v>(TFL) W 4th St </v>
      </c>
      <c r="J9">
        <f t="shared" si="8"/>
      </c>
    </row>
    <row r="10" spans="1:10" ht="15">
      <c r="A10">
        <f ca="1" t="shared" si="0"/>
        <v>1</v>
      </c>
      <c r="B10">
        <f ca="1" t="shared" si="1"/>
        <v>10</v>
      </c>
      <c r="C10" t="str">
        <f t="shared" si="2"/>
        <v>Seg1!</v>
      </c>
      <c r="D10">
        <f ca="1" t="shared" si="3"/>
        <v>14.53</v>
      </c>
      <c r="E10">
        <f t="shared" si="9"/>
        <v>14.6</v>
      </c>
      <c r="F10" t="str">
        <f ca="1" t="shared" si="4"/>
        <v> L</v>
      </c>
      <c r="G10" t="str">
        <f ca="1" t="shared" si="5"/>
        <v>(TFL) New St  CAUTION: RR ahead</v>
      </c>
      <c r="H10" t="e">
        <f t="shared" si="6"/>
        <v>#VALUE!</v>
      </c>
      <c r="I10" t="str">
        <f t="shared" si="7"/>
        <v>(TFL) New St  CAUTION: RR ahead</v>
      </c>
      <c r="J10">
        <f t="shared" si="8"/>
      </c>
    </row>
    <row r="11" spans="1:10" ht="15">
      <c r="A11">
        <f ca="1" t="shared" si="0"/>
        <v>1</v>
      </c>
      <c r="B11">
        <f ca="1" t="shared" si="1"/>
        <v>11</v>
      </c>
      <c r="C11" t="str">
        <f t="shared" si="2"/>
        <v>Seg1!</v>
      </c>
      <c r="D11">
        <f ca="1" t="shared" si="3"/>
        <v>14.87</v>
      </c>
      <c r="E11">
        <f t="shared" si="9"/>
        <v>14.9</v>
      </c>
      <c r="F11" t="str">
        <f ca="1" t="shared" si="4"/>
        <v> X</v>
      </c>
      <c r="G11" t="str">
        <f ca="1" t="shared" si="5"/>
        <v>New St Bridge</v>
      </c>
      <c r="H11" t="e">
        <f t="shared" si="6"/>
        <v>#VALUE!</v>
      </c>
      <c r="I11" t="str">
        <f t="shared" si="7"/>
        <v>New St Bridge</v>
      </c>
      <c r="J11">
        <f t="shared" si="8"/>
      </c>
    </row>
    <row r="12" spans="1:10" ht="15">
      <c r="A12">
        <f ca="1" t="shared" si="0"/>
        <v>1</v>
      </c>
      <c r="B12">
        <f ca="1" t="shared" si="1"/>
        <v>12</v>
      </c>
      <c r="C12" t="str">
        <f t="shared" si="2"/>
        <v>Seg1!</v>
      </c>
      <c r="D12">
        <f ca="1" t="shared" si="3"/>
        <v>15.01</v>
      </c>
      <c r="E12">
        <f t="shared" si="9"/>
        <v>15</v>
      </c>
      <c r="F12" t="str">
        <f ca="1" t="shared" si="4"/>
        <v> 1st R</v>
      </c>
      <c r="G12" t="str">
        <f ca="1" t="shared" si="5"/>
        <v>Center St</v>
      </c>
      <c r="H12" t="e">
        <f t="shared" si="6"/>
        <v>#VALUE!</v>
      </c>
      <c r="I12" t="str">
        <f t="shared" si="7"/>
        <v>Center St</v>
      </c>
      <c r="J12">
        <f t="shared" si="8"/>
      </c>
    </row>
    <row r="13" spans="1:10" ht="15">
      <c r="A13">
        <f ca="1" t="shared" si="0"/>
        <v>1</v>
      </c>
      <c r="B13">
        <f ca="1" t="shared" si="1"/>
        <v>13</v>
      </c>
      <c r="C13" t="str">
        <f t="shared" si="2"/>
        <v>Seg1!</v>
      </c>
      <c r="D13">
        <f ca="1" t="shared" si="3"/>
        <v>17.72</v>
      </c>
      <c r="E13">
        <f t="shared" si="9"/>
        <v>17.8</v>
      </c>
      <c r="F13" t="str">
        <f ca="1" t="shared" si="4"/>
        <v> L</v>
      </c>
      <c r="G13" t="str">
        <f ca="1" t="shared" si="5"/>
        <v>(TFL) Maacada Rd Caution RR at bottom of descent</v>
      </c>
      <c r="H13" t="e">
        <f t="shared" si="6"/>
        <v>#VALUE!</v>
      </c>
      <c r="I13" t="str">
        <f t="shared" si="7"/>
        <v>(TFL) Maacada Rd Caution RR at bottom of descent</v>
      </c>
      <c r="J13">
        <f t="shared" si="8"/>
      </c>
    </row>
    <row r="14" spans="1:10" ht="15">
      <c r="A14">
        <f ca="1" t="shared" si="0"/>
        <v>1</v>
      </c>
      <c r="B14">
        <f ca="1" t="shared" si="1"/>
        <v>14</v>
      </c>
      <c r="C14" t="str">
        <f t="shared" si="2"/>
        <v>Seg1!</v>
      </c>
      <c r="D14">
        <f ca="1" t="shared" si="3"/>
        <v>18.81</v>
      </c>
      <c r="E14">
        <f t="shared" si="9"/>
        <v>18.9</v>
      </c>
      <c r="F14" t="str">
        <f ca="1" t="shared" si="4"/>
        <v> R</v>
      </c>
      <c r="G14" t="str">
        <f ca="1" t="shared" si="5"/>
        <v>(TFL) Jacksonville Rd</v>
      </c>
      <c r="H14" t="e">
        <f t="shared" si="6"/>
        <v>#VALUE!</v>
      </c>
      <c r="I14" t="str">
        <f t="shared" si="7"/>
        <v>(TFL) Jacksonville Rd</v>
      </c>
      <c r="J14">
        <f t="shared" si="8"/>
      </c>
    </row>
    <row r="15" spans="1:10" ht="15">
      <c r="A15">
        <f ca="1" t="shared" si="0"/>
        <v>1</v>
      </c>
      <c r="B15">
        <f ca="1" t="shared" si="1"/>
        <v>15</v>
      </c>
      <c r="C15" t="str">
        <f t="shared" si="2"/>
        <v>Seg1!</v>
      </c>
      <c r="D15">
        <f ca="1" t="shared" si="3"/>
        <v>21.06</v>
      </c>
      <c r="E15">
        <f t="shared" si="9"/>
        <v>21.1</v>
      </c>
      <c r="F15" t="str">
        <f ca="1" t="shared" si="4"/>
        <v> T L</v>
      </c>
      <c r="G15" t="str">
        <f ca="1" t="shared" si="5"/>
        <v>Hanoverville Rd</v>
      </c>
      <c r="H15" t="e">
        <f t="shared" si="6"/>
        <v>#VALUE!</v>
      </c>
      <c r="I15" t="str">
        <f t="shared" si="7"/>
        <v>Hanoverville Rd</v>
      </c>
      <c r="J15">
        <f t="shared" si="8"/>
      </c>
    </row>
    <row r="16" spans="1:10" ht="15">
      <c r="A16">
        <f ca="1" t="shared" si="0"/>
        <v>1</v>
      </c>
      <c r="B16">
        <f ca="1" t="shared" si="1"/>
        <v>16</v>
      </c>
      <c r="C16" t="str">
        <f t="shared" si="2"/>
        <v>Seg1!</v>
      </c>
      <c r="D16">
        <f ca="1" t="shared" si="3"/>
        <v>21.36</v>
      </c>
      <c r="E16">
        <f t="shared" si="9"/>
        <v>21.4</v>
      </c>
      <c r="F16" t="str">
        <f ca="1" t="shared" si="4"/>
        <v> X</v>
      </c>
      <c r="G16" t="str">
        <f ca="1" t="shared" si="5"/>
        <v>(TFL) Airport Rd / Rt 987 (joining Snowdrift Rd)</v>
      </c>
      <c r="H16" t="e">
        <f t="shared" si="6"/>
        <v>#VALUE!</v>
      </c>
      <c r="I16" t="str">
        <f t="shared" si="7"/>
        <v>(TFL) Airport Rd / Rt 987 (joining Snowdrift Rd)</v>
      </c>
      <c r="J16">
        <f t="shared" si="8"/>
      </c>
    </row>
    <row r="17" spans="1:10" ht="15">
      <c r="A17">
        <f ca="1" t="shared" si="0"/>
        <v>1</v>
      </c>
      <c r="B17">
        <f ca="1" t="shared" si="1"/>
        <v>17</v>
      </c>
      <c r="C17" t="str">
        <f t="shared" si="2"/>
        <v>Seg1!</v>
      </c>
      <c r="D17">
        <f ca="1" t="shared" si="3"/>
        <v>21.5</v>
      </c>
      <c r="E17">
        <f t="shared" si="9"/>
        <v>21.6</v>
      </c>
      <c r="F17" t="str">
        <f ca="1" t="shared" si="4"/>
        <v> T L</v>
      </c>
      <c r="G17" t="str">
        <f ca="1" t="shared" si="5"/>
        <v>Colony Dr</v>
      </c>
      <c r="H17" t="e">
        <f t="shared" si="6"/>
        <v>#VALUE!</v>
      </c>
      <c r="I17" t="str">
        <f t="shared" si="7"/>
        <v>Colony Dr</v>
      </c>
      <c r="J17">
        <f t="shared" si="8"/>
      </c>
    </row>
    <row r="18" spans="1:10" ht="15">
      <c r="A18">
        <f ca="1" t="shared" si="0"/>
        <v>1</v>
      </c>
      <c r="B18">
        <f ca="1" t="shared" si="1"/>
        <v>18</v>
      </c>
      <c r="C18" t="str">
        <f t="shared" si="2"/>
        <v>Seg1!</v>
      </c>
      <c r="D18">
        <f ca="1" t="shared" si="3"/>
        <v>23.02</v>
      </c>
      <c r="E18">
        <f t="shared" si="9"/>
        <v>23.1</v>
      </c>
      <c r="F18" t="str">
        <f ca="1" t="shared" si="4"/>
        <v> T R</v>
      </c>
      <c r="G18" t="str">
        <f ca="1" t="shared" si="5"/>
        <v>Weaversville Rd</v>
      </c>
      <c r="H18" t="e">
        <f t="shared" si="6"/>
        <v>#VALUE!</v>
      </c>
      <c r="I18" t="str">
        <f t="shared" si="7"/>
        <v>Weaversville Rd</v>
      </c>
      <c r="J18">
        <f t="shared" si="8"/>
      </c>
    </row>
    <row r="19" spans="1:10" ht="15">
      <c r="A19">
        <f ca="1" t="shared" si="0"/>
        <v>1</v>
      </c>
      <c r="B19">
        <f ca="1" t="shared" si="1"/>
        <v>19</v>
      </c>
      <c r="C19" t="str">
        <f t="shared" si="2"/>
        <v>Seg1!</v>
      </c>
      <c r="D19">
        <f ca="1" t="shared" si="3"/>
        <v>23.64</v>
      </c>
      <c r="E19">
        <f t="shared" si="9"/>
        <v>23.7</v>
      </c>
      <c r="F19" t="str">
        <f ca="1" t="shared" si="4"/>
        <v> 1st R</v>
      </c>
      <c r="G19" t="str">
        <f ca="1" t="shared" si="5"/>
        <v>Walnut St</v>
      </c>
      <c r="H19" t="e">
        <f t="shared" si="6"/>
        <v>#VALUE!</v>
      </c>
      <c r="I19" t="str">
        <f t="shared" si="7"/>
        <v>Walnut St</v>
      </c>
      <c r="J19">
        <f t="shared" si="8"/>
      </c>
    </row>
    <row r="20" spans="1:10" ht="15">
      <c r="A20">
        <f ca="1" t="shared" si="0"/>
        <v>1</v>
      </c>
      <c r="B20">
        <f ca="1" t="shared" si="1"/>
        <v>20</v>
      </c>
      <c r="C20" t="str">
        <f t="shared" si="2"/>
        <v>Seg1!</v>
      </c>
      <c r="D20">
        <f ca="1" t="shared" si="3"/>
        <v>24.25</v>
      </c>
      <c r="E20">
        <f t="shared" si="9"/>
        <v>24.3</v>
      </c>
      <c r="F20" t="str">
        <f ca="1" t="shared" si="4"/>
        <v> TL</v>
      </c>
      <c r="G20" t="str">
        <f ca="1" t="shared" si="5"/>
        <v>Nor Bath Blvd / Rt 329</v>
      </c>
      <c r="H20" t="e">
        <f t="shared" si="6"/>
        <v>#VALUE!</v>
      </c>
      <c r="I20" t="str">
        <f t="shared" si="7"/>
        <v>Nor Bath Blvd / Rt 329</v>
      </c>
      <c r="J20">
        <f t="shared" si="8"/>
      </c>
    </row>
    <row r="21" spans="1:10" ht="15">
      <c r="A21">
        <f ca="1" t="shared" si="0"/>
        <v>1</v>
      </c>
      <c r="B21">
        <f ca="1" t="shared" si="1"/>
        <v>21</v>
      </c>
      <c r="C21" t="str">
        <f t="shared" si="2"/>
        <v>Seg1!</v>
      </c>
      <c r="D21">
        <f ca="1" t="shared" si="3"/>
        <v>24.5</v>
      </c>
      <c r="E21">
        <f t="shared" si="9"/>
        <v>24.6</v>
      </c>
      <c r="F21" t="str">
        <f ca="1" t="shared" si="4"/>
        <v> 1st R</v>
      </c>
      <c r="G21" t="str">
        <f ca="1" t="shared" si="5"/>
        <v>Rt 3021 / Seemsville Rd</v>
      </c>
      <c r="H21" t="e">
        <f t="shared" si="6"/>
        <v>#VALUE!</v>
      </c>
      <c r="I21" t="str">
        <f t="shared" si="7"/>
        <v>Rt 3021 / Seemsville Rd</v>
      </c>
      <c r="J21">
        <f t="shared" si="8"/>
      </c>
    </row>
    <row r="22" spans="1:10" ht="15">
      <c r="A22">
        <f ca="1" t="shared" si="0"/>
        <v>1</v>
      </c>
      <c r="B22">
        <f ca="1" t="shared" si="1"/>
        <v>22</v>
      </c>
      <c r="C22" t="str">
        <f t="shared" si="2"/>
        <v>Seg1!</v>
      </c>
      <c r="D22">
        <f ca="1" t="shared" si="3"/>
        <v>26.23</v>
      </c>
      <c r="E22">
        <f t="shared" si="9"/>
        <v>26.3</v>
      </c>
      <c r="F22" t="str">
        <f ca="1" t="shared" si="4"/>
        <v> L</v>
      </c>
      <c r="G22" t="str">
        <f ca="1" t="shared" si="5"/>
        <v>(SS) Rt 3018 / Old Carriage Rd [Seemsville]</v>
      </c>
      <c r="H22" t="e">
        <f t="shared" si="6"/>
        <v>#VALUE!</v>
      </c>
      <c r="I22" t="str">
        <f t="shared" si="7"/>
        <v>(SS) Rt 3018 / Old Carriage Rd [Seemsville]</v>
      </c>
      <c r="J22">
        <f t="shared" si="8"/>
      </c>
    </row>
    <row r="23" spans="1:10" ht="15">
      <c r="A23">
        <f ca="1" t="shared" si="0"/>
        <v>1</v>
      </c>
      <c r="B23">
        <f ca="1" t="shared" si="1"/>
        <v>23</v>
      </c>
      <c r="C23" t="str">
        <f t="shared" si="2"/>
        <v>Seg1!</v>
      </c>
      <c r="D23">
        <f ca="1" t="shared" si="3"/>
        <v>27.79</v>
      </c>
      <c r="E23">
        <f t="shared" si="9"/>
        <v>27.9</v>
      </c>
      <c r="F23" t="str">
        <f ca="1" t="shared" si="4"/>
        <v> T R</v>
      </c>
      <c r="G23" t="str">
        <f ca="1">INDIRECT($C23&amp;"A"&amp;$B23)</f>
        <v>Howertown Rd</v>
      </c>
      <c r="H23" t="e">
        <f t="shared" si="6"/>
        <v>#VALUE!</v>
      </c>
      <c r="I23" t="str">
        <f t="shared" si="7"/>
        <v>Howertown Rd</v>
      </c>
      <c r="J23">
        <f t="shared" si="8"/>
      </c>
    </row>
    <row r="24" spans="1:10" ht="15">
      <c r="A24">
        <f ca="1" t="shared" si="0"/>
        <v>1</v>
      </c>
      <c r="B24">
        <f ca="1" t="shared" si="1"/>
        <v>24</v>
      </c>
      <c r="C24" t="str">
        <f t="shared" si="2"/>
        <v>Seg1!</v>
      </c>
      <c r="D24">
        <f ca="1" t="shared" si="3"/>
        <v>28.21</v>
      </c>
      <c r="E24">
        <f t="shared" si="9"/>
        <v>28.3</v>
      </c>
      <c r="F24" t="str">
        <f ca="1" t="shared" si="4"/>
        <v> X</v>
      </c>
      <c r="G24" t="str">
        <f ca="1" t="shared" si="5"/>
        <v>Kreidersville Rd (SS) b/c Indian Trail Rd</v>
      </c>
      <c r="H24" t="e">
        <f t="shared" si="6"/>
        <v>#VALUE!</v>
      </c>
      <c r="I24" t="str">
        <f t="shared" si="7"/>
        <v>Kreidersville Rd (SS) b/c Indian Trail Rd</v>
      </c>
      <c r="J24">
        <f t="shared" si="8"/>
      </c>
    </row>
    <row r="25" spans="1:10" ht="15">
      <c r="A25">
        <f ca="1" t="shared" si="0"/>
        <v>1</v>
      </c>
      <c r="B25">
        <f ca="1" t="shared" si="1"/>
        <v>25</v>
      </c>
      <c r="C25" t="str">
        <f t="shared" si="2"/>
        <v>Seg1!</v>
      </c>
      <c r="D25">
        <f ca="1" t="shared" si="3"/>
        <v>30.85</v>
      </c>
      <c r="E25">
        <f t="shared" si="9"/>
        <v>31</v>
      </c>
      <c r="F25" t="str">
        <f ca="1" t="shared" si="4"/>
        <v> T R</v>
      </c>
      <c r="G25" t="str">
        <f ca="1" t="shared" si="5"/>
        <v>Rt 248 / Lehigh Dr</v>
      </c>
      <c r="H25" t="e">
        <f t="shared" si="6"/>
        <v>#VALUE!</v>
      </c>
      <c r="I25" t="str">
        <f t="shared" si="7"/>
        <v>Rt 248 / Lehigh Dr</v>
      </c>
      <c r="J25">
        <f t="shared" si="8"/>
      </c>
    </row>
    <row r="26" spans="1:10" ht="15">
      <c r="A26">
        <f ca="1" t="shared" si="0"/>
        <v>1</v>
      </c>
      <c r="B26">
        <f ca="1" t="shared" si="1"/>
        <v>26</v>
      </c>
      <c r="C26" t="str">
        <f t="shared" si="2"/>
        <v>Seg1!</v>
      </c>
      <c r="D26">
        <f ca="1" t="shared" si="3"/>
        <v>31.2</v>
      </c>
      <c r="E26">
        <f t="shared" si="9"/>
        <v>31.3</v>
      </c>
      <c r="F26" t="str">
        <f ca="1" t="shared" si="4"/>
        <v> 1st L</v>
      </c>
      <c r="G26" t="str">
        <f ca="1" t="shared" si="5"/>
        <v>(TFL) Walnut Dr / Rt 4003</v>
      </c>
      <c r="H26" t="e">
        <f t="shared" si="6"/>
        <v>#VALUE!</v>
      </c>
      <c r="I26" t="str">
        <f t="shared" si="7"/>
        <v>(TFL) Walnut Dr / Rt 4003</v>
      </c>
      <c r="J26">
        <f t="shared" si="8"/>
      </c>
    </row>
    <row r="27" spans="1:10" ht="15">
      <c r="A27">
        <f ca="1" t="shared" si="0"/>
        <v>1</v>
      </c>
      <c r="B27">
        <f ca="1" t="shared" si="1"/>
        <v>27</v>
      </c>
      <c r="C27" t="str">
        <f t="shared" si="2"/>
        <v>Seg1!</v>
      </c>
      <c r="D27">
        <f ca="1" t="shared" si="3"/>
        <v>31.99</v>
      </c>
      <c r="E27">
        <f t="shared" si="9"/>
        <v>32.1</v>
      </c>
      <c r="F27" t="str">
        <f ca="1" t="shared" si="4"/>
        <v> B L</v>
      </c>
      <c r="G27" t="str">
        <f ca="1" t="shared" si="5"/>
        <v>TRO Walnut Dr (at Murphy Rd)</v>
      </c>
      <c r="H27" t="e">
        <f t="shared" si="6"/>
        <v>#VALUE!</v>
      </c>
      <c r="I27" t="str">
        <f t="shared" si="7"/>
        <v>TRO Walnut Dr (at Murphy Rd)</v>
      </c>
      <c r="J27">
        <f t="shared" si="8"/>
      </c>
    </row>
    <row r="28" spans="1:10" ht="15">
      <c r="A28">
        <f ca="1" t="shared" si="0"/>
        <v>1</v>
      </c>
      <c r="B28">
        <f ca="1" t="shared" si="1"/>
        <v>28</v>
      </c>
      <c r="C28" t="str">
        <f t="shared" si="2"/>
        <v>Seg1!</v>
      </c>
      <c r="D28">
        <f ca="1" t="shared" si="3"/>
        <v>33.57</v>
      </c>
      <c r="E28">
        <f t="shared" si="9"/>
        <v>33.7</v>
      </c>
      <c r="F28" t="str">
        <f ca="1" t="shared" si="4"/>
        <v> B L</v>
      </c>
      <c r="G28" t="str">
        <f ca="1" t="shared" si="5"/>
        <v>TRO Walnut Dr (at Dogwood Rd)</v>
      </c>
      <c r="H28" t="e">
        <f t="shared" si="6"/>
        <v>#VALUE!</v>
      </c>
      <c r="I28" t="str">
        <f t="shared" si="7"/>
        <v>TRO Walnut Dr (at Dogwood Rd)</v>
      </c>
      <c r="J28">
        <f t="shared" si="8"/>
      </c>
    </row>
    <row r="29" spans="1:10" ht="15">
      <c r="A29">
        <f ca="1" t="shared" si="0"/>
        <v>1</v>
      </c>
      <c r="B29">
        <f ca="1" t="shared" si="1"/>
        <v>29</v>
      </c>
      <c r="C29" t="str">
        <f t="shared" si="2"/>
        <v>Seg1!</v>
      </c>
      <c r="D29">
        <f ca="1" t="shared" si="3"/>
        <v>34.16</v>
      </c>
      <c r="E29">
        <f t="shared" si="9"/>
        <v>34.3</v>
      </c>
      <c r="F29" t="str">
        <f ca="1" t="shared" si="4"/>
        <v> T L</v>
      </c>
      <c r="G29" t="str">
        <f ca="1" t="shared" si="5"/>
        <v>Rt 4018 / Elm Rd</v>
      </c>
      <c r="H29" t="e">
        <f t="shared" si="6"/>
        <v>#VALUE!</v>
      </c>
      <c r="I29" t="str">
        <f t="shared" si="7"/>
        <v>Rt 4018 / Elm Rd</v>
      </c>
      <c r="J29">
        <f t="shared" si="8"/>
      </c>
    </row>
    <row r="30" spans="1:10" ht="15">
      <c r="A30">
        <f ca="1" t="shared" si="0"/>
        <v>1</v>
      </c>
      <c r="B30">
        <f ca="1" t="shared" si="1"/>
        <v>30</v>
      </c>
      <c r="C30" t="str">
        <f t="shared" si="2"/>
        <v>Seg1!</v>
      </c>
      <c r="D30">
        <f ca="1" t="shared" si="3"/>
        <v>34.38</v>
      </c>
      <c r="E30">
        <f t="shared" si="9"/>
        <v>34.5</v>
      </c>
      <c r="F30" t="str">
        <f ca="1" t="shared" si="4"/>
        <v> T R</v>
      </c>
      <c r="G30" t="str">
        <f ca="1" t="shared" si="5"/>
        <v>Blue Mountain Dr / Rt 4001</v>
      </c>
      <c r="H30" t="e">
        <f t="shared" si="6"/>
        <v>#VALUE!</v>
      </c>
      <c r="I30" t="str">
        <f t="shared" si="7"/>
        <v>Blue Mountain Dr / Rt 4001</v>
      </c>
      <c r="J30">
        <f t="shared" si="8"/>
      </c>
    </row>
    <row r="31" spans="1:10" ht="15">
      <c r="A31">
        <f ca="1" t="shared" si="0"/>
        <v>1</v>
      </c>
      <c r="B31">
        <f ca="1" t="shared" si="1"/>
        <v>31</v>
      </c>
      <c r="C31" t="str">
        <f t="shared" si="2"/>
        <v>Seg1!</v>
      </c>
      <c r="D31">
        <f ca="1" t="shared" si="3"/>
        <v>35.38</v>
      </c>
      <c r="E31">
        <f t="shared" si="9"/>
        <v>35.5</v>
      </c>
      <c r="F31" t="str">
        <f ca="1" t="shared" si="4"/>
        <v> L</v>
      </c>
      <c r="G31" t="str">
        <f ca="1" t="shared" si="5"/>
        <v>(TFL) Rt 946 / Mountain View Rd</v>
      </c>
      <c r="H31" t="e">
        <f t="shared" si="6"/>
        <v>#VALUE!</v>
      </c>
      <c r="I31" t="str">
        <f t="shared" si="7"/>
        <v>(TFL) Rt 946 / Mountain View Rd</v>
      </c>
      <c r="J31">
        <f t="shared" si="8"/>
      </c>
    </row>
    <row r="32" spans="1:10" ht="15">
      <c r="A32">
        <f ca="1" t="shared" si="0"/>
        <v>1</v>
      </c>
      <c r="B32">
        <f ca="1" t="shared" si="1"/>
        <v>32</v>
      </c>
      <c r="C32" t="str">
        <f t="shared" si="2"/>
        <v>Seg1!</v>
      </c>
      <c r="D32">
        <f ca="1" t="shared" si="3"/>
        <v>35.45</v>
      </c>
      <c r="E32">
        <f t="shared" si="9"/>
        <v>35.6</v>
      </c>
      <c r="F32" t="str">
        <f ca="1" t="shared" si="4"/>
        <v> STOP</v>
      </c>
      <c r="G32" t="str">
        <f ca="1" t="shared" si="5"/>
        <v>Controle Shell Mini Mart (on right) {MiniMart}</v>
      </c>
      <c r="H32">
        <f t="shared" si="6"/>
        <v>37</v>
      </c>
      <c r="I32" t="str">
        <f t="shared" si="7"/>
        <v>Controle Shell Mini Mart (on right) </v>
      </c>
      <c r="J32" t="str">
        <f t="shared" si="8"/>
        <v>MiniMart</v>
      </c>
    </row>
    <row r="33" spans="1:10" ht="15">
      <c r="A33">
        <f ca="1" t="shared" si="0"/>
        <v>1</v>
      </c>
      <c r="B33">
        <f ca="1" t="shared" si="1"/>
        <v>33</v>
      </c>
      <c r="C33" t="str">
        <f t="shared" si="2"/>
        <v>Seg1!</v>
      </c>
      <c r="D33">
        <f ca="1" t="shared" si="3"/>
        <v>35.46</v>
      </c>
      <c r="E33">
        <f t="shared" si="9"/>
        <v>35.6</v>
      </c>
      <c r="F33" t="str">
        <f ca="1" t="shared" si="4"/>
        <v> Backtrack</v>
      </c>
      <c r="G33" t="str">
        <f ca="1" t="shared" si="5"/>
        <v>Leave driveway turning left onto Rt 946 (reverse direction) {Limited services ahead}</v>
      </c>
      <c r="H33">
        <f t="shared" si="6"/>
        <v>61</v>
      </c>
      <c r="I33" t="str">
        <f t="shared" si="7"/>
        <v>Leave driveway turning left onto Rt 946 (reverse direction) </v>
      </c>
      <c r="J33" t="str">
        <f t="shared" si="8"/>
        <v>Limited services ahead</v>
      </c>
    </row>
    <row r="34" spans="1:10" ht="15">
      <c r="A34">
        <f ca="1" t="shared" si="0"/>
        <v>1</v>
      </c>
      <c r="B34">
        <f ca="1" t="shared" si="1"/>
        <v>34</v>
      </c>
      <c r="C34" t="str">
        <f t="shared" si="2"/>
        <v>Seg1!</v>
      </c>
      <c r="D34">
        <f ca="1" t="shared" si="3"/>
        <v>35.52</v>
      </c>
      <c r="E34">
        <f t="shared" si="9"/>
        <v>35.7</v>
      </c>
      <c r="F34" t="str">
        <f ca="1" t="shared" si="4"/>
        <v> 1st L</v>
      </c>
      <c r="G34" t="str">
        <f ca="1" t="shared" si="5"/>
        <v>(TFL) Blue Mountain Dr / Rt 4001</v>
      </c>
      <c r="H34" t="e">
        <f t="shared" si="6"/>
        <v>#VALUE!</v>
      </c>
      <c r="I34" t="str">
        <f t="shared" si="7"/>
        <v>(TFL) Blue Mountain Dr / Rt 4001</v>
      </c>
      <c r="J34">
        <f t="shared" si="8"/>
      </c>
    </row>
    <row r="35" spans="1:10" ht="15">
      <c r="A35">
        <f ca="1" t="shared" si="0"/>
        <v>1</v>
      </c>
      <c r="B35">
        <f ca="1" t="shared" si="1"/>
        <v>35</v>
      </c>
      <c r="C35" t="str">
        <f t="shared" si="2"/>
        <v>Seg1!</v>
      </c>
      <c r="D35">
        <f ca="1" t="shared" si="3"/>
        <v>37.05</v>
      </c>
      <c r="E35">
        <f t="shared" si="9"/>
        <v>37.2</v>
      </c>
      <c r="F35" t="str">
        <f ca="1" t="shared" si="4"/>
        <v> X</v>
      </c>
      <c r="G35" t="str">
        <f ca="1" t="shared" si="5"/>
        <v>Appalachian Trail (at top of climb) CAUTION on descent</v>
      </c>
      <c r="H35" t="e">
        <f t="shared" si="6"/>
        <v>#VALUE!</v>
      </c>
      <c r="I35" t="str">
        <f t="shared" si="7"/>
        <v>Appalachian Trail (at top of climb) CAUTION on descent</v>
      </c>
      <c r="J35">
        <f t="shared" si="8"/>
      </c>
    </row>
    <row r="36" spans="1:10" ht="15">
      <c r="A36">
        <f ca="1" t="shared" si="0"/>
        <v>2</v>
      </c>
      <c r="B36">
        <f ca="1" t="shared" si="1"/>
        <v>3</v>
      </c>
      <c r="C36" t="str">
        <f t="shared" si="2"/>
        <v>Seg2!</v>
      </c>
      <c r="D36">
        <f ca="1" t="shared" si="3"/>
        <v>38.91</v>
      </c>
      <c r="E36">
        <f t="shared" si="9"/>
        <v>39.1</v>
      </c>
      <c r="F36" t="str">
        <f ca="1" t="shared" si="4"/>
        <v> T R</v>
      </c>
      <c r="G36" t="str">
        <f ca="1" t="shared" si="5"/>
        <v>Lower Smith Gap Rd / Rt 3002 (bottom of descent)</v>
      </c>
      <c r="H36" t="e">
        <f t="shared" si="6"/>
        <v>#VALUE!</v>
      </c>
      <c r="I36" t="str">
        <f t="shared" si="7"/>
        <v>Lower Smith Gap Rd / Rt 3002 (bottom of descent)</v>
      </c>
      <c r="J36">
        <f t="shared" si="8"/>
      </c>
    </row>
    <row r="37" spans="1:10" ht="15">
      <c r="A37">
        <f ca="1" t="shared" si="0"/>
        <v>2</v>
      </c>
      <c r="B37">
        <f ca="1" t="shared" si="1"/>
        <v>4</v>
      </c>
      <c r="C37" t="str">
        <f t="shared" si="2"/>
        <v>Seg2!</v>
      </c>
      <c r="D37">
        <f ca="1" t="shared" si="3"/>
        <v>42.94</v>
      </c>
      <c r="E37">
        <f t="shared" si="9"/>
        <v>43.1</v>
      </c>
      <c r="F37" t="str">
        <f ca="1" t="shared" si="4"/>
        <v> B R</v>
      </c>
      <c r="G37" t="str">
        <f ca="1" t="shared" si="5"/>
        <v>TRO Lower Smith Gap Rd / Rt 3002 (at Schaffer Rd)</v>
      </c>
      <c r="H37" t="e">
        <f t="shared" si="6"/>
        <v>#VALUE!</v>
      </c>
      <c r="I37" t="str">
        <f t="shared" si="7"/>
        <v>TRO Lower Smith Gap Rd / Rt 3002 (at Schaffer Rd)</v>
      </c>
      <c r="J37">
        <f t="shared" si="8"/>
      </c>
    </row>
    <row r="38" spans="1:10" ht="15">
      <c r="A38">
        <f ca="1" t="shared" si="0"/>
        <v>2</v>
      </c>
      <c r="B38">
        <f ca="1" t="shared" si="1"/>
        <v>5</v>
      </c>
      <c r="C38" t="str">
        <f t="shared" si="2"/>
        <v>Seg2!</v>
      </c>
      <c r="D38">
        <f ca="1" t="shared" si="3"/>
        <v>48.209999999999994</v>
      </c>
      <c r="E38">
        <f t="shared" si="9"/>
        <v>48.4</v>
      </c>
      <c r="F38" t="str">
        <f ca="1" t="shared" si="4"/>
        <v> ***L</v>
      </c>
      <c r="G38" t="str">
        <f ca="1" t="shared" si="5"/>
        <v>TRO Rt 3002 / Upper Smith Gap Rd (3-way Jct).."15 MPH" turn (Mountain Rd goes straight)</v>
      </c>
      <c r="H38" t="e">
        <f t="shared" si="6"/>
        <v>#VALUE!</v>
      </c>
      <c r="I38" t="str">
        <f t="shared" si="7"/>
        <v>TRO Rt 3002 / Upper Smith Gap Rd (3-way Jct).."15 MPH" turn (Mountain Rd goes straight)</v>
      </c>
      <c r="J38">
        <f t="shared" si="8"/>
      </c>
    </row>
    <row r="39" spans="1:10" ht="15">
      <c r="A39">
        <f ca="1" t="shared" si="0"/>
        <v>2</v>
      </c>
      <c r="B39">
        <f ca="1" t="shared" si="1"/>
        <v>6</v>
      </c>
      <c r="C39" t="str">
        <f t="shared" si="2"/>
        <v>Seg2!</v>
      </c>
      <c r="D39">
        <f ca="1" t="shared" si="3"/>
        <v>50.629999999999995</v>
      </c>
      <c r="E39">
        <f t="shared" si="9"/>
        <v>50.8</v>
      </c>
      <c r="F39" t="str">
        <f ca="1" t="shared" si="4"/>
        <v> X</v>
      </c>
      <c r="G39" t="str">
        <f ca="1" t="shared" si="5"/>
        <v>Rt 3015 / Mt Eaton Rd (SS) now on Faulstick Rd {Wind Gap vista on right}</v>
      </c>
      <c r="H39">
        <f t="shared" si="6"/>
        <v>48</v>
      </c>
      <c r="I39" t="str">
        <f t="shared" si="7"/>
        <v>Rt 3015 / Mt Eaton Rd (SS) now on Faulstick Rd </v>
      </c>
      <c r="J39" t="str">
        <f t="shared" si="8"/>
        <v>Wind Gap vista on right</v>
      </c>
    </row>
    <row r="40" spans="1:10" ht="15">
      <c r="A40">
        <f ca="1">IF(INDIRECT($C39&amp;"A"&amp;$B39+1)&lt;&gt;"",A39,A39+1)</f>
        <v>2</v>
      </c>
      <c r="B40">
        <f ca="1">IF(INDIRECT($C39&amp;"A"&amp;$B39+1)&lt;&gt;"",B39+1,3)</f>
        <v>7</v>
      </c>
      <c r="C40" t="str">
        <f>"Seg"&amp;A40&amp;"!"</f>
        <v>Seg2!</v>
      </c>
      <c r="D40">
        <f ca="1" t="shared" si="3"/>
        <v>52.269999999999996</v>
      </c>
      <c r="E40">
        <f t="shared" si="9"/>
        <v>52.5</v>
      </c>
      <c r="F40" t="str">
        <f ca="1" t="shared" si="4"/>
        <v> T R</v>
      </c>
      <c r="G40" t="str">
        <f ca="1" t="shared" si="5"/>
        <v>(SS) (unmarked) Rt 115 / Hamilton South</v>
      </c>
      <c r="H40" t="e">
        <f t="shared" si="6"/>
        <v>#VALUE!</v>
      </c>
      <c r="I40" t="str">
        <f t="shared" si="7"/>
        <v>(SS) (unmarked) Rt 115 / Hamilton South</v>
      </c>
      <c r="J40">
        <f t="shared" si="8"/>
      </c>
    </row>
    <row r="41" spans="1:10" ht="15">
      <c r="A41">
        <f aca="true" ca="1" t="shared" si="10" ref="A41:A48">IF(INDIRECT($C40&amp;"A"&amp;$B40+1)&lt;&gt;"",A40,A40+1)</f>
        <v>2</v>
      </c>
      <c r="B41">
        <f aca="true" ca="1" t="shared" si="11" ref="B41:B48">IF(INDIRECT($C40&amp;"A"&amp;$B40+1)&lt;&gt;"",B40+1,3)</f>
        <v>8</v>
      </c>
      <c r="C41" t="str">
        <f aca="true" t="shared" si="12" ref="C41:C48">"Seg"&amp;A41&amp;"!"</f>
        <v>Seg2!</v>
      </c>
      <c r="D41">
        <f ca="1" t="shared" si="3"/>
        <v>52.81999999999999</v>
      </c>
      <c r="E41">
        <f t="shared" si="9"/>
        <v>53</v>
      </c>
      <c r="F41" t="str">
        <f ca="1" t="shared" si="4"/>
        <v> L</v>
      </c>
      <c r="G41" t="str">
        <f ca="1" t="shared" si="5"/>
        <v>L Cherry Valley Rd / Rt 2002 .."Kemmertown 4".."Winery"</v>
      </c>
      <c r="H41" t="e">
        <f t="shared" si="6"/>
        <v>#VALUE!</v>
      </c>
      <c r="I41" t="str">
        <f t="shared" si="7"/>
        <v>L Cherry Valley Rd / Rt 2002 .."Kemmertown 4".."Winery"</v>
      </c>
      <c r="J41">
        <f t="shared" si="8"/>
      </c>
    </row>
    <row r="42" spans="1:10" ht="15">
      <c r="A42">
        <f ca="1" t="shared" si="10"/>
        <v>2</v>
      </c>
      <c r="B42">
        <f ca="1" t="shared" si="11"/>
        <v>9</v>
      </c>
      <c r="C42" t="str">
        <f t="shared" si="12"/>
        <v>Seg2!</v>
      </c>
      <c r="D42">
        <f ca="1" t="shared" si="3"/>
        <v>55.39</v>
      </c>
      <c r="E42">
        <f t="shared" si="9"/>
        <v>55.6</v>
      </c>
      <c r="F42" t="str">
        <f ca="1" t="shared" si="4"/>
        <v> Pass</v>
      </c>
      <c r="G42" t="str">
        <f ca="1" t="shared" si="5"/>
        <v>Cherry Valley Apiaries</v>
      </c>
      <c r="H42" t="e">
        <f t="shared" si="6"/>
        <v>#VALUE!</v>
      </c>
      <c r="I42" t="str">
        <f t="shared" si="7"/>
        <v>Cherry Valley Apiaries</v>
      </c>
      <c r="J42">
        <f t="shared" si="8"/>
      </c>
    </row>
    <row r="43" spans="1:10" ht="15">
      <c r="A43">
        <f ca="1" t="shared" si="10"/>
        <v>2</v>
      </c>
      <c r="B43">
        <f ca="1" t="shared" si="11"/>
        <v>10</v>
      </c>
      <c r="C43" t="str">
        <f t="shared" si="12"/>
        <v>Seg2!</v>
      </c>
      <c r="D43">
        <f ca="1" t="shared" si="3"/>
        <v>56.94</v>
      </c>
      <c r="E43">
        <f t="shared" si="9"/>
        <v>57.2</v>
      </c>
      <c r="F43" t="str">
        <f ca="1" t="shared" si="4"/>
        <v> ***2nd L</v>
      </c>
      <c r="G43" t="str">
        <f ca="1" t="shared" si="5"/>
        <v>Fetherman Rd (sign hidden)</v>
      </c>
      <c r="H43" t="e">
        <f t="shared" si="6"/>
        <v>#VALUE!</v>
      </c>
      <c r="I43" t="str">
        <f t="shared" si="7"/>
        <v>Fetherman Rd (sign hidden)</v>
      </c>
      <c r="J43">
        <f t="shared" si="8"/>
      </c>
    </row>
    <row r="44" spans="1:10" ht="15">
      <c r="A44">
        <f ca="1" t="shared" si="10"/>
        <v>2</v>
      </c>
      <c r="B44">
        <f ca="1" t="shared" si="11"/>
        <v>11</v>
      </c>
      <c r="C44" t="str">
        <f t="shared" si="12"/>
        <v>Seg2!</v>
      </c>
      <c r="D44">
        <f ca="1" t="shared" si="3"/>
        <v>58.129999999999995</v>
      </c>
      <c r="E44">
        <f t="shared" si="9"/>
        <v>58.4</v>
      </c>
      <c r="F44" t="str">
        <f ca="1" t="shared" si="4"/>
        <v> T R</v>
      </c>
      <c r="G44" t="str">
        <f ca="1" t="shared" si="5"/>
        <v>(SS) Cherry Valley Lr</v>
      </c>
      <c r="H44" t="e">
        <f t="shared" si="6"/>
        <v>#VALUE!</v>
      </c>
      <c r="I44" t="str">
        <f t="shared" si="7"/>
        <v>(SS) Cherry Valley Lr</v>
      </c>
      <c r="J44">
        <f t="shared" si="8"/>
      </c>
    </row>
    <row r="45" spans="1:10" ht="15">
      <c r="A45">
        <f ca="1" t="shared" si="10"/>
        <v>2</v>
      </c>
      <c r="B45">
        <f ca="1" t="shared" si="11"/>
        <v>12</v>
      </c>
      <c r="C45" t="str">
        <f t="shared" si="12"/>
        <v>Seg2!</v>
      </c>
      <c r="D45">
        <f ca="1" t="shared" si="3"/>
        <v>59.78</v>
      </c>
      <c r="E45">
        <f t="shared" si="9"/>
        <v>60</v>
      </c>
      <c r="F45" t="str">
        <f ca="1" t="shared" si="4"/>
        <v> B R</v>
      </c>
      <c r="G45" t="str">
        <f ca="1" t="shared" si="5"/>
        <v>TRO Cherry Valley Rd / Rt 2006 (Del Water Gap sign)</v>
      </c>
      <c r="H45" t="e">
        <f t="shared" si="6"/>
        <v>#VALUE!</v>
      </c>
      <c r="I45" t="str">
        <f t="shared" si="7"/>
        <v>TRO Cherry Valley Rd / Rt 2006 (Del Water Gap sign)</v>
      </c>
      <c r="J45">
        <f t="shared" si="8"/>
      </c>
    </row>
    <row r="46" spans="1:10" ht="15">
      <c r="A46">
        <f ca="1" t="shared" si="10"/>
        <v>2</v>
      </c>
      <c r="B46">
        <f ca="1" t="shared" si="11"/>
        <v>13</v>
      </c>
      <c r="C46" t="str">
        <f t="shared" si="12"/>
        <v>Seg2!</v>
      </c>
      <c r="D46">
        <f ca="1" t="shared" si="3"/>
        <v>62.42</v>
      </c>
      <c r="E46">
        <f t="shared" si="9"/>
        <v>62.7</v>
      </c>
      <c r="F46" t="str">
        <f ca="1" t="shared" si="4"/>
        <v> T R</v>
      </c>
      <c r="G46" t="str">
        <f ca="1" t="shared" si="5"/>
        <v>(SS) Rt 191 (Begin long climb to Fox Gap)</v>
      </c>
      <c r="H46" t="e">
        <f t="shared" si="6"/>
        <v>#VALUE!</v>
      </c>
      <c r="I46" t="str">
        <f t="shared" si="7"/>
        <v>(SS) Rt 191 (Begin long climb to Fox Gap)</v>
      </c>
      <c r="J46">
        <f t="shared" si="8"/>
      </c>
    </row>
    <row r="47" spans="1:10" ht="15">
      <c r="A47">
        <f ca="1" t="shared" si="10"/>
        <v>2</v>
      </c>
      <c r="B47">
        <f ca="1" t="shared" si="11"/>
        <v>14</v>
      </c>
      <c r="C47" t="str">
        <f t="shared" si="12"/>
        <v>Seg2!</v>
      </c>
      <c r="D47">
        <f ca="1" t="shared" si="3"/>
        <v>64.94</v>
      </c>
      <c r="E47">
        <f t="shared" si="9"/>
        <v>65.2</v>
      </c>
      <c r="F47" t="str">
        <f ca="1" t="shared" si="4"/>
        <v> X</v>
      </c>
      <c r="G47" t="str">
        <f ca="1">INDIRECT($C47&amp;"A"&amp;$B47)</f>
        <v>Appalachian Trail (at top of climb)</v>
      </c>
      <c r="H47" t="e">
        <f t="shared" si="6"/>
        <v>#VALUE!</v>
      </c>
      <c r="I47" t="str">
        <f t="shared" si="7"/>
        <v>Appalachian Trail (at top of climb)</v>
      </c>
      <c r="J47">
        <f t="shared" si="8"/>
      </c>
    </row>
    <row r="48" spans="1:10" ht="15">
      <c r="A48">
        <f ca="1" t="shared" si="10"/>
        <v>2</v>
      </c>
      <c r="B48">
        <f ca="1" t="shared" si="11"/>
        <v>15</v>
      </c>
      <c r="C48" t="str">
        <f t="shared" si="12"/>
        <v>Seg2!</v>
      </c>
      <c r="D48">
        <f ca="1" t="shared" si="3"/>
        <v>65.19999999999999</v>
      </c>
      <c r="E48">
        <f t="shared" si="9"/>
        <v>65.5</v>
      </c>
      <c r="F48" t="str">
        <f ca="1" t="shared" si="4"/>
        <v> 1st L</v>
      </c>
      <c r="G48" t="str">
        <f ca="1" t="shared" si="5"/>
        <v>Fox Gap Rd</v>
      </c>
      <c r="H48" t="e">
        <f t="shared" si="6"/>
        <v>#VALUE!</v>
      </c>
      <c r="I48" t="str">
        <f t="shared" si="7"/>
        <v>Fox Gap Rd</v>
      </c>
      <c r="J48">
        <f t="shared" si="8"/>
      </c>
    </row>
    <row r="49" spans="1:10" ht="15">
      <c r="A49">
        <f aca="true" ca="1" t="shared" si="13" ref="A49:A84">IF(INDIRECT($C48&amp;"A"&amp;$B48+1)&lt;&gt;"",A48,A48+1)</f>
        <v>2</v>
      </c>
      <c r="B49">
        <f aca="true" ca="1" t="shared" si="14" ref="B49:B84">IF(INDIRECT($C48&amp;"A"&amp;$B48+1)&lt;&gt;"",B48+1,3)</f>
        <v>16</v>
      </c>
      <c r="C49" t="str">
        <f aca="true" t="shared" si="15" ref="C49:C84">"Seg"&amp;A49&amp;"!"</f>
        <v>Seg2!</v>
      </c>
      <c r="D49">
        <f ca="1" t="shared" si="3"/>
        <v>65.69</v>
      </c>
      <c r="E49">
        <f t="shared" si="9"/>
        <v>66</v>
      </c>
      <c r="F49" t="str">
        <f ca="1" t="shared" si="4"/>
        <v> 1st L</v>
      </c>
      <c r="G49" t="str">
        <f ca="1" t="shared" si="5"/>
        <v>Quaker Plain Rd</v>
      </c>
      <c r="H49" t="e">
        <f t="shared" si="6"/>
        <v>#VALUE!</v>
      </c>
      <c r="I49" t="str">
        <f t="shared" si="7"/>
        <v>Quaker Plain Rd</v>
      </c>
      <c r="J49">
        <f t="shared" si="8"/>
      </c>
    </row>
    <row r="50" spans="1:10" ht="15">
      <c r="A50">
        <f ca="1" t="shared" si="13"/>
        <v>2</v>
      </c>
      <c r="B50">
        <f ca="1" t="shared" si="14"/>
        <v>17</v>
      </c>
      <c r="C50" t="str">
        <f t="shared" si="15"/>
        <v>Seg2!</v>
      </c>
      <c r="D50">
        <f ca="1" t="shared" si="3"/>
        <v>66.17999999999999</v>
      </c>
      <c r="E50">
        <f t="shared" si="9"/>
        <v>66.5</v>
      </c>
      <c r="F50" t="str">
        <f ca="1" t="shared" si="4"/>
        <v> B L</v>
      </c>
      <c r="G50" t="str">
        <f ca="1" t="shared" si="5"/>
        <v>(SS) TRO Quaker Plain Rd</v>
      </c>
      <c r="H50" t="e">
        <f t="shared" si="6"/>
        <v>#VALUE!</v>
      </c>
      <c r="I50" t="str">
        <f t="shared" si="7"/>
        <v>(SS) TRO Quaker Plain Rd</v>
      </c>
      <c r="J50">
        <f t="shared" si="8"/>
      </c>
    </row>
    <row r="51" spans="1:10" ht="15">
      <c r="A51">
        <f ca="1" t="shared" si="13"/>
        <v>2</v>
      </c>
      <c r="B51">
        <f ca="1" t="shared" si="14"/>
        <v>18</v>
      </c>
      <c r="C51" t="str">
        <f t="shared" si="15"/>
        <v>Seg2!</v>
      </c>
      <c r="D51">
        <f ca="1" t="shared" si="3"/>
        <v>67.00999999999999</v>
      </c>
      <c r="E51">
        <f t="shared" si="9"/>
        <v>67.3</v>
      </c>
      <c r="F51" t="str">
        <f ca="1" t="shared" si="4"/>
        <v> B R</v>
      </c>
      <c r="G51" t="str">
        <f ca="1" t="shared" si="5"/>
        <v>(SS) Blue Mountain Dr </v>
      </c>
      <c r="H51" t="e">
        <f t="shared" si="6"/>
        <v>#VALUE!</v>
      </c>
      <c r="I51" t="str">
        <f t="shared" si="7"/>
        <v>(SS) Blue Mountain Dr </v>
      </c>
      <c r="J51">
        <f t="shared" si="8"/>
      </c>
    </row>
    <row r="52" spans="1:10" ht="15">
      <c r="A52">
        <f ca="1" t="shared" si="13"/>
        <v>2</v>
      </c>
      <c r="B52">
        <f ca="1" t="shared" si="14"/>
        <v>19</v>
      </c>
      <c r="C52" t="str">
        <f t="shared" si="15"/>
        <v>Seg2!</v>
      </c>
      <c r="D52">
        <f ca="1" t="shared" si="3"/>
        <v>67.44999999999999</v>
      </c>
      <c r="E52">
        <f t="shared" si="9"/>
        <v>67.8</v>
      </c>
      <c r="F52" t="str">
        <f ca="1" t="shared" si="4"/>
        <v> T L</v>
      </c>
      <c r="G52" t="str">
        <f ca="1" t="shared" si="5"/>
        <v>Lake Minsi Dr</v>
      </c>
      <c r="H52" t="e">
        <f t="shared" si="6"/>
        <v>#VALUE!</v>
      </c>
      <c r="I52" t="str">
        <f t="shared" si="7"/>
        <v>Lake Minsi Dr</v>
      </c>
      <c r="J52">
        <f t="shared" si="8"/>
      </c>
    </row>
    <row r="53" spans="1:10" ht="15">
      <c r="A53">
        <f ca="1" t="shared" si="13"/>
        <v>2</v>
      </c>
      <c r="B53">
        <f ca="1" t="shared" si="14"/>
        <v>20</v>
      </c>
      <c r="C53" t="str">
        <f t="shared" si="15"/>
        <v>Seg2!</v>
      </c>
      <c r="D53">
        <f ca="1" t="shared" si="3"/>
        <v>67.94999999999999</v>
      </c>
      <c r="E53">
        <f t="shared" si="9"/>
        <v>68.3</v>
      </c>
      <c r="F53" t="str">
        <f ca="1" t="shared" si="4"/>
        <v> 1st L</v>
      </c>
      <c r="G53" t="str">
        <f ca="1">INDIRECT($C53&amp;"A"&amp;$B53)&amp;"
"</f>
        <v>E Shore Dr .."East Entrance"
</v>
      </c>
      <c r="H53" t="e">
        <f t="shared" si="6"/>
        <v>#VALUE!</v>
      </c>
      <c r="I53" t="str">
        <f t="shared" si="7"/>
        <v>E Shore Dr .."East Entrance"
</v>
      </c>
      <c r="J53">
        <f t="shared" si="8"/>
      </c>
    </row>
    <row r="54" spans="1:10" ht="15">
      <c r="A54">
        <f ca="1" t="shared" si="13"/>
        <v>2</v>
      </c>
      <c r="B54">
        <f ca="1" t="shared" si="14"/>
        <v>21</v>
      </c>
      <c r="C54" t="str">
        <f t="shared" si="15"/>
        <v>Seg2!</v>
      </c>
      <c r="D54">
        <f ca="1" t="shared" si="3"/>
        <v>68.9</v>
      </c>
      <c r="E54">
        <f t="shared" si="9"/>
        <v>69.2</v>
      </c>
      <c r="F54" t="str">
        <f ca="1" t="shared" si="4"/>
        <v> R</v>
      </c>
      <c r="G54" t="str">
        <f ca="1" t="shared" si="5"/>
        <v>(SS) Totts Gap Rd</v>
      </c>
      <c r="H54" t="e">
        <f t="shared" si="6"/>
        <v>#VALUE!</v>
      </c>
      <c r="I54" t="str">
        <f t="shared" si="7"/>
        <v>(SS) Totts Gap Rd</v>
      </c>
      <c r="J54">
        <f t="shared" si="8"/>
      </c>
    </row>
    <row r="55" spans="1:10" ht="15">
      <c r="A55">
        <f ca="1" t="shared" si="13"/>
        <v>2</v>
      </c>
      <c r="B55">
        <f ca="1" t="shared" si="14"/>
        <v>22</v>
      </c>
      <c r="C55" t="str">
        <f t="shared" si="15"/>
        <v>Seg2!</v>
      </c>
      <c r="D55">
        <f ca="1" t="shared" si="3"/>
        <v>69.24</v>
      </c>
      <c r="E55">
        <f t="shared" si="9"/>
        <v>69.6</v>
      </c>
      <c r="F55" t="str">
        <f ca="1" t="shared" si="4"/>
        <v> 1st L</v>
      </c>
      <c r="G55" t="str">
        <f ca="1" t="shared" si="5"/>
        <v>Ramblewood Dr</v>
      </c>
      <c r="H55" t="e">
        <f t="shared" si="6"/>
        <v>#VALUE!</v>
      </c>
      <c r="I55" t="str">
        <f t="shared" si="7"/>
        <v>Ramblewood Dr</v>
      </c>
      <c r="J55">
        <f t="shared" si="8"/>
      </c>
    </row>
    <row r="56" spans="1:10" ht="15">
      <c r="A56">
        <f ca="1" t="shared" si="13"/>
        <v>2</v>
      </c>
      <c r="B56">
        <f ca="1" t="shared" si="14"/>
        <v>23</v>
      </c>
      <c r="C56" t="str">
        <f t="shared" si="15"/>
        <v>Seg2!</v>
      </c>
      <c r="D56">
        <f ca="1" t="shared" si="3"/>
        <v>70.33</v>
      </c>
      <c r="E56">
        <f t="shared" si="9"/>
        <v>70.6</v>
      </c>
      <c r="F56" t="str">
        <f ca="1" t="shared" si="4"/>
        <v> T R</v>
      </c>
      <c r="G56" t="str">
        <f ca="1" t="shared" si="5"/>
        <v>Million Dollar Hwy</v>
      </c>
      <c r="H56" t="e">
        <f t="shared" si="6"/>
        <v>#VALUE!</v>
      </c>
      <c r="I56" t="str">
        <f t="shared" si="7"/>
        <v>Million Dollar Hwy</v>
      </c>
      <c r="J56">
        <f t="shared" si="8"/>
      </c>
    </row>
    <row r="57" spans="1:10" ht="15">
      <c r="A57">
        <f ca="1" t="shared" si="13"/>
        <v>2</v>
      </c>
      <c r="B57">
        <f ca="1" t="shared" si="14"/>
        <v>24</v>
      </c>
      <c r="C57" t="str">
        <f t="shared" si="15"/>
        <v>Seg2!</v>
      </c>
      <c r="D57">
        <f ca="1" t="shared" si="3"/>
        <v>71.50999999999999</v>
      </c>
      <c r="E57">
        <f t="shared" si="9"/>
        <v>71.8</v>
      </c>
      <c r="F57" t="str">
        <f ca="1" t="shared" si="4"/>
        <v> B L</v>
      </c>
      <c r="G57" t="str">
        <f ca="1" t="shared" si="5"/>
        <v>TRO Million Dollar Hwy b/c Jacoby Creek Rd (RR tracks on right)</v>
      </c>
      <c r="H57" t="e">
        <f t="shared" si="6"/>
        <v>#VALUE!</v>
      </c>
      <c r="I57" t="str">
        <f t="shared" si="7"/>
        <v>TRO Million Dollar Hwy b/c Jacoby Creek Rd (RR tracks on right)</v>
      </c>
      <c r="J57">
        <f t="shared" si="8"/>
      </c>
    </row>
    <row r="58" spans="1:10" ht="15">
      <c r="A58">
        <f ca="1" t="shared" si="13"/>
        <v>2</v>
      </c>
      <c r="B58">
        <f ca="1" t="shared" si="14"/>
        <v>25</v>
      </c>
      <c r="C58" t="str">
        <f t="shared" si="15"/>
        <v>Seg2!</v>
      </c>
      <c r="D58">
        <f ca="1" t="shared" si="3"/>
        <v>72.25999999999999</v>
      </c>
      <c r="E58">
        <f t="shared" si="9"/>
        <v>72.6</v>
      </c>
      <c r="F58" t="str">
        <f ca="1" t="shared" si="4"/>
        <v> L</v>
      </c>
      <c r="G58" t="str">
        <f ca="1" t="shared" si="5"/>
        <v>(SS) Middle Village Rd</v>
      </c>
      <c r="H58" t="e">
        <f t="shared" si="6"/>
        <v>#VALUE!</v>
      </c>
      <c r="I58" t="str">
        <f t="shared" si="7"/>
        <v>(SS) Middle Village Rd</v>
      </c>
      <c r="J58">
        <f t="shared" si="8"/>
      </c>
    </row>
    <row r="59" spans="1:10" ht="15">
      <c r="A59">
        <f ca="1" t="shared" si="13"/>
        <v>2</v>
      </c>
      <c r="B59">
        <f ca="1" t="shared" si="14"/>
        <v>26</v>
      </c>
      <c r="C59" t="str">
        <f t="shared" si="15"/>
        <v>Seg2!</v>
      </c>
      <c r="D59">
        <f ca="1" t="shared" si="3"/>
        <v>72.3</v>
      </c>
      <c r="E59">
        <f t="shared" si="9"/>
        <v>72.6</v>
      </c>
      <c r="F59" t="str">
        <f ca="1" t="shared" si="4"/>
        <v> T R</v>
      </c>
      <c r="G59" t="str">
        <f ca="1" t="shared" si="5"/>
        <v>(unmarked) Boulder Dr / Creek Rd</v>
      </c>
      <c r="H59" t="e">
        <f t="shared" si="6"/>
        <v>#VALUE!</v>
      </c>
      <c r="I59" t="str">
        <f t="shared" si="7"/>
        <v>(unmarked) Boulder Dr / Creek Rd</v>
      </c>
      <c r="J59">
        <f t="shared" si="8"/>
      </c>
    </row>
    <row r="60" spans="1:10" ht="15">
      <c r="A60">
        <f ca="1" t="shared" si="13"/>
        <v>2</v>
      </c>
      <c r="B60">
        <f ca="1" t="shared" si="14"/>
        <v>27</v>
      </c>
      <c r="C60" t="str">
        <f t="shared" si="15"/>
        <v>Seg2!</v>
      </c>
      <c r="D60">
        <f ca="1" t="shared" si="3"/>
        <v>72.72</v>
      </c>
      <c r="E60">
        <f t="shared" si="9"/>
        <v>73</v>
      </c>
      <c r="F60" t="str">
        <f ca="1" t="shared" si="4"/>
        <v> T L</v>
      </c>
      <c r="G60" t="str">
        <f ca="1" t="shared" si="5"/>
        <v>State St</v>
      </c>
      <c r="H60" t="e">
        <f t="shared" si="6"/>
        <v>#VALUE!</v>
      </c>
      <c r="I60" t="str">
        <f t="shared" si="7"/>
        <v>State St</v>
      </c>
      <c r="J60">
        <f t="shared" si="8"/>
      </c>
    </row>
    <row r="61" spans="1:10" ht="15">
      <c r="A61">
        <f ca="1" t="shared" si="13"/>
        <v>2</v>
      </c>
      <c r="B61">
        <f ca="1" t="shared" si="14"/>
        <v>28</v>
      </c>
      <c r="C61" t="str">
        <f t="shared" si="15"/>
        <v>Seg2!</v>
      </c>
      <c r="D61">
        <f ca="1" t="shared" si="3"/>
        <v>73.05</v>
      </c>
      <c r="E61">
        <f t="shared" si="9"/>
        <v>73.4</v>
      </c>
      <c r="F61" t="str">
        <f ca="1" t="shared" si="4"/>
        <v> T L</v>
      </c>
      <c r="G61" t="str">
        <f ca="1" t="shared" si="5"/>
        <v>(TFL) Rt 611 [Portland]</v>
      </c>
      <c r="H61" t="e">
        <f t="shared" si="6"/>
        <v>#VALUE!</v>
      </c>
      <c r="I61" t="str">
        <f t="shared" si="7"/>
        <v>(TFL) Rt 611 [Portland]</v>
      </c>
      <c r="J61">
        <f t="shared" si="8"/>
      </c>
    </row>
    <row r="62" spans="1:10" ht="15">
      <c r="A62">
        <f ca="1" t="shared" si="13"/>
        <v>2</v>
      </c>
      <c r="B62">
        <f ca="1" t="shared" si="14"/>
        <v>29</v>
      </c>
      <c r="C62" t="str">
        <f t="shared" si="15"/>
        <v>Seg2!</v>
      </c>
      <c r="D62">
        <f ca="1" t="shared" si="3"/>
        <v>73.31</v>
      </c>
      <c r="E62">
        <f t="shared" si="9"/>
        <v>73.6</v>
      </c>
      <c r="F62" t="str">
        <f ca="1" t="shared" si="4"/>
        <v> Special Stop+X</v>
      </c>
      <c r="G62" t="str">
        <f ca="1" t="shared" si="5"/>
        <v>Stop at Penn Jersey Gas Station on right then cross Delaware River pedestrian bridge{MiniMart}</v>
      </c>
      <c r="H62">
        <f t="shared" si="6"/>
        <v>85</v>
      </c>
      <c r="I62" t="str">
        <f t="shared" si="7"/>
        <v>Stop at Penn Jersey Gas Station on right then cross Delaware River pedestrian bridge</v>
      </c>
      <c r="J62" t="str">
        <f t="shared" si="8"/>
        <v>MiniMart</v>
      </c>
    </row>
    <row r="63" spans="1:10" ht="15">
      <c r="A63">
        <f ca="1" t="shared" si="13"/>
        <v>2</v>
      </c>
      <c r="B63">
        <f ca="1" t="shared" si="14"/>
        <v>30</v>
      </c>
      <c r="C63" t="str">
        <f t="shared" si="15"/>
        <v>Seg2!</v>
      </c>
      <c r="D63">
        <f ca="1" t="shared" si="3"/>
        <v>73.47999999999999</v>
      </c>
      <c r="E63">
        <f t="shared" si="9"/>
        <v>73.8</v>
      </c>
      <c r="F63" t="str">
        <f ca="1" t="shared" si="4"/>
        <v> Straight</v>
      </c>
      <c r="G63" t="str">
        <f ca="1" t="shared" si="5"/>
        <v>Joining Green St (at end of pedestrian bridge) {Water Gap vista on left}</v>
      </c>
      <c r="H63">
        <f t="shared" si="6"/>
        <v>48</v>
      </c>
      <c r="I63" t="str">
        <f t="shared" si="7"/>
        <v>Joining Green St (at end of pedestrian bridge) </v>
      </c>
      <c r="J63" t="str">
        <f t="shared" si="8"/>
        <v>Water Gap vista on left</v>
      </c>
    </row>
    <row r="64" spans="1:10" ht="15">
      <c r="A64">
        <f ca="1" t="shared" si="13"/>
        <v>2</v>
      </c>
      <c r="B64">
        <f ca="1" t="shared" si="14"/>
        <v>31</v>
      </c>
      <c r="C64" t="str">
        <f t="shared" si="15"/>
        <v>Seg2!</v>
      </c>
      <c r="D64">
        <f ca="1" t="shared" si="3"/>
        <v>73.56</v>
      </c>
      <c r="E64">
        <f t="shared" si="9"/>
        <v>73.9</v>
      </c>
      <c r="F64" t="str">
        <f ca="1" t="shared" si="4"/>
        <v> L</v>
      </c>
      <c r="G64" t="str">
        <f ca="1" t="shared" si="5"/>
        <v>(SS) Decatur St / Rt 676</v>
      </c>
      <c r="H64" t="e">
        <f t="shared" si="6"/>
        <v>#VALUE!</v>
      </c>
      <c r="I64" t="str">
        <f t="shared" si="7"/>
        <v>(SS) Decatur St / Rt 676</v>
      </c>
      <c r="J64">
        <f t="shared" si="8"/>
      </c>
    </row>
    <row r="65" spans="1:10" ht="15">
      <c r="A65">
        <f ca="1" t="shared" si="13"/>
        <v>2</v>
      </c>
      <c r="B65">
        <f ca="1" t="shared" si="14"/>
        <v>32</v>
      </c>
      <c r="C65" t="str">
        <f t="shared" si="15"/>
        <v>Seg2!</v>
      </c>
      <c r="D65">
        <f ca="1" t="shared" si="3"/>
        <v>73.8</v>
      </c>
      <c r="E65">
        <f t="shared" si="9"/>
        <v>74.1</v>
      </c>
      <c r="F65" t="str">
        <f ca="1" t="shared" si="4"/>
        <v> R</v>
      </c>
      <c r="G65" t="str">
        <f ca="1" t="shared" si="5"/>
        <v>Rt 80 overpass (follow "All Traffic")</v>
      </c>
      <c r="H65" t="e">
        <f t="shared" si="6"/>
        <v>#VALUE!</v>
      </c>
      <c r="I65" t="str">
        <f t="shared" si="7"/>
        <v>Rt 80 overpass (follow "All Traffic")</v>
      </c>
      <c r="J65">
        <f t="shared" si="8"/>
      </c>
    </row>
    <row r="66" spans="1:10" ht="15">
      <c r="A66">
        <f ca="1" t="shared" si="13"/>
        <v>2</v>
      </c>
      <c r="B66">
        <f ca="1" t="shared" si="14"/>
        <v>33</v>
      </c>
      <c r="C66" t="str">
        <f t="shared" si="15"/>
        <v>Seg2!</v>
      </c>
      <c r="D66">
        <f ca="1" t="shared" si="3"/>
        <v>73.91</v>
      </c>
      <c r="E66">
        <f t="shared" si="9"/>
        <v>74.2</v>
      </c>
      <c r="F66" t="str">
        <f ca="1" t="shared" si="4"/>
        <v> Q BR</v>
      </c>
      <c r="G66" t="str">
        <f ca="1" t="shared" si="5"/>
        <v>Rt 80 access road (at TA Truck stop){Restaurant}</v>
      </c>
      <c r="H66">
        <f t="shared" si="6"/>
        <v>37</v>
      </c>
      <c r="I66" t="str">
        <f t="shared" si="7"/>
        <v>Rt 80 access road (at TA Truck stop)</v>
      </c>
      <c r="J66" t="str">
        <f t="shared" si="8"/>
        <v>Restaurant</v>
      </c>
    </row>
    <row r="67" spans="1:10" ht="15">
      <c r="A67">
        <f ca="1" t="shared" si="13"/>
        <v>2</v>
      </c>
      <c r="B67">
        <f ca="1" t="shared" si="14"/>
        <v>34</v>
      </c>
      <c r="C67" t="str">
        <f t="shared" si="15"/>
        <v>Seg2!</v>
      </c>
      <c r="D67">
        <f ca="1" t="shared" si="16" ref="D67:D130">INDIRECT($C67&amp;"L"&amp;$B67)</f>
        <v>74.33</v>
      </c>
      <c r="E67">
        <f t="shared" si="9"/>
        <v>74.7</v>
      </c>
      <c r="F67" t="str">
        <f ca="1" t="shared" si="17" ref="F67:F130">INDIRECT($C67&amp;"M"&amp;$B67)</f>
        <v> X</v>
      </c>
      <c r="G67" t="str">
        <f ca="1" t="shared" si="18" ref="G67:G130">INDIRECT($C67&amp;"A"&amp;$B67)</f>
        <v>(SS) (unmarked) Rt 94 South.."All Traffic".."No Turns"</v>
      </c>
      <c r="H67" t="e">
        <f aca="true" t="shared" si="19" ref="H67:H130">FIND("{",G67)</f>
        <v>#VALUE!</v>
      </c>
      <c r="I67" t="str">
        <f aca="true" t="shared" si="20" ref="I67:I130">IF(ISNUMBER(H67),LEFT(G67,H67-1),G67)</f>
        <v>(SS) (unmarked) Rt 94 South.."All Traffic".."No Turns"</v>
      </c>
      <c r="J67">
        <f aca="true" t="shared" si="21" ref="J67:J130">IF(ISNUMBER(H67),MID(G67,H67+1,LEN(G67)-H67-1),"")</f>
      </c>
    </row>
    <row r="68" spans="1:10" ht="15">
      <c r="A68">
        <f ca="1" t="shared" si="13"/>
        <v>2</v>
      </c>
      <c r="B68">
        <f ca="1" t="shared" si="14"/>
        <v>35</v>
      </c>
      <c r="C68" t="str">
        <f t="shared" si="15"/>
        <v>Seg2!</v>
      </c>
      <c r="D68">
        <f ca="1" t="shared" si="16"/>
        <v>74.38</v>
      </c>
      <c r="E68">
        <f aca="true" t="shared" si="22" ref="E68:E131">TRUNC(D68*$J$1,1)</f>
        <v>74.7</v>
      </c>
      <c r="F68" t="str">
        <f ca="1" t="shared" si="17"/>
        <v> Q Merge / Caution</v>
      </c>
      <c r="G68" t="str">
        <f ca="1" t="shared" si="18"/>
        <v>Joining Rt 94 North (watch for fast traffic entering on your right)</v>
      </c>
      <c r="H68" t="e">
        <f t="shared" si="19"/>
        <v>#VALUE!</v>
      </c>
      <c r="I68" t="str">
        <f t="shared" si="20"/>
        <v>Joining Rt 94 North (watch for fast traffic entering on your right)</v>
      </c>
      <c r="J68">
        <f t="shared" si="21"/>
      </c>
    </row>
    <row r="69" spans="1:10" ht="15">
      <c r="A69">
        <f ca="1" t="shared" si="13"/>
        <v>2</v>
      </c>
      <c r="B69">
        <f ca="1" t="shared" si="14"/>
        <v>36</v>
      </c>
      <c r="C69" t="str">
        <f t="shared" si="15"/>
        <v>Seg2!</v>
      </c>
      <c r="D69">
        <f ca="1" t="shared" si="16"/>
        <v>74.77</v>
      </c>
      <c r="E69">
        <f t="shared" si="22"/>
        <v>75.1</v>
      </c>
      <c r="F69" t="str">
        <f ca="1" t="shared" si="17"/>
        <v> B L</v>
      </c>
      <c r="G69" t="str">
        <f ca="1" t="shared" si="18"/>
        <v>TRO Rt 94 North (Jct Rt 605)</v>
      </c>
      <c r="H69" t="e">
        <f t="shared" si="19"/>
        <v>#VALUE!</v>
      </c>
      <c r="I69" t="str">
        <f t="shared" si="20"/>
        <v>TRO Rt 94 North (Jct Rt 605)</v>
      </c>
      <c r="J69">
        <f t="shared" si="21"/>
      </c>
    </row>
    <row r="70" spans="1:10" ht="15">
      <c r="A70">
        <f ca="1" t="shared" si="13"/>
        <v>2</v>
      </c>
      <c r="B70">
        <f ca="1" t="shared" si="14"/>
        <v>37</v>
      </c>
      <c r="C70" t="str">
        <f t="shared" si="15"/>
        <v>Seg2!</v>
      </c>
      <c r="D70">
        <f ca="1" t="shared" si="16"/>
        <v>76.52</v>
      </c>
      <c r="E70">
        <f t="shared" si="22"/>
        <v>76.9</v>
      </c>
      <c r="F70" t="str">
        <f ca="1" t="shared" si="17"/>
        <v> ***R</v>
      </c>
      <c r="G70" t="str">
        <f ca="1" t="shared" si="18"/>
        <v>Station Rd...look for "One Lane Bridge".. crossing stream</v>
      </c>
      <c r="H70" t="e">
        <f t="shared" si="19"/>
        <v>#VALUE!</v>
      </c>
      <c r="I70" t="str">
        <f t="shared" si="20"/>
        <v>Station Rd...look for "One Lane Bridge".. crossing stream</v>
      </c>
      <c r="J70">
        <f t="shared" si="21"/>
      </c>
    </row>
    <row r="71" spans="1:10" ht="15">
      <c r="A71">
        <f ca="1" t="shared" si="13"/>
        <v>2</v>
      </c>
      <c r="B71">
        <f ca="1" t="shared" si="14"/>
        <v>38</v>
      </c>
      <c r="C71" t="str">
        <f t="shared" si="15"/>
        <v>Seg2!</v>
      </c>
      <c r="D71">
        <f ca="1" t="shared" si="16"/>
        <v>76.83</v>
      </c>
      <c r="E71">
        <f t="shared" si="22"/>
        <v>77.2</v>
      </c>
      <c r="F71" t="str">
        <f ca="1" t="shared" si="17"/>
        <v> X</v>
      </c>
      <c r="G71" t="str">
        <f ca="1" t="shared" si="18"/>
        <v>Viaduct {Lackawanna Cutoff vista}</v>
      </c>
      <c r="H71">
        <f t="shared" si="19"/>
        <v>9</v>
      </c>
      <c r="I71" t="str">
        <f t="shared" si="20"/>
        <v>Viaduct </v>
      </c>
      <c r="J71" t="str">
        <f t="shared" si="21"/>
        <v>Lackawanna Cutoff vista</v>
      </c>
    </row>
    <row r="72" spans="1:10" ht="15">
      <c r="A72">
        <f ca="1" t="shared" si="13"/>
        <v>2</v>
      </c>
      <c r="B72">
        <f ca="1" t="shared" si="14"/>
        <v>39</v>
      </c>
      <c r="C72" t="str">
        <f t="shared" si="15"/>
        <v>Seg2!</v>
      </c>
      <c r="D72">
        <f ca="1" t="shared" si="16"/>
        <v>78.16</v>
      </c>
      <c r="E72">
        <f t="shared" si="22"/>
        <v>78.5</v>
      </c>
      <c r="F72" t="str">
        <f ca="1" t="shared" si="17"/>
        <v> Straight</v>
      </c>
      <c r="G72" t="str">
        <f ca="1" t="shared" si="18"/>
        <v>(SS) Merging with Polkville Rd (Crisman Rd on left)</v>
      </c>
      <c r="H72" t="e">
        <f t="shared" si="19"/>
        <v>#VALUE!</v>
      </c>
      <c r="I72" t="str">
        <f t="shared" si="20"/>
        <v>(SS) Merging with Polkville Rd (Crisman Rd on left)</v>
      </c>
      <c r="J72">
        <f t="shared" si="21"/>
      </c>
    </row>
    <row r="73" spans="1:10" ht="15">
      <c r="A73">
        <f ca="1" t="shared" si="13"/>
        <v>2</v>
      </c>
      <c r="B73">
        <f ca="1" t="shared" si="14"/>
        <v>40</v>
      </c>
      <c r="C73" t="str">
        <f t="shared" si="15"/>
        <v>Seg2!</v>
      </c>
      <c r="D73">
        <f ca="1" t="shared" si="16"/>
        <v>79.24</v>
      </c>
      <c r="E73">
        <f t="shared" si="22"/>
        <v>79.6</v>
      </c>
      <c r="F73" t="str">
        <f ca="1" t="shared" si="17"/>
        <v> TL + QR</v>
      </c>
      <c r="G73" t="str">
        <f ca="1" t="shared" si="18"/>
        <v>Sandhill Rd (Crossing Mt Hermon Rd)</v>
      </c>
      <c r="H73" t="e">
        <f t="shared" si="19"/>
        <v>#VALUE!</v>
      </c>
      <c r="I73" t="str">
        <f t="shared" si="20"/>
        <v>Sandhill Rd (Crossing Mt Hermon Rd)</v>
      </c>
      <c r="J73">
        <f t="shared" si="21"/>
      </c>
    </row>
    <row r="74" spans="1:10" ht="15">
      <c r="A74">
        <f ca="1" t="shared" si="13"/>
        <v>2</v>
      </c>
      <c r="B74">
        <f ca="1" t="shared" si="14"/>
        <v>41</v>
      </c>
      <c r="C74" t="str">
        <f t="shared" si="15"/>
        <v>Seg2!</v>
      </c>
      <c r="D74">
        <f ca="1" t="shared" si="16"/>
        <v>80.44999999999999</v>
      </c>
      <c r="E74">
        <f t="shared" si="22"/>
        <v>80.8</v>
      </c>
      <c r="F74" t="str">
        <f ca="1" t="shared" si="17"/>
        <v> T L</v>
      </c>
      <c r="G74" t="str">
        <f ca="1" t="shared" si="18"/>
        <v>(unmarked) Cedar Lake Rd / Rt 616</v>
      </c>
      <c r="H74" t="e">
        <f t="shared" si="19"/>
        <v>#VALUE!</v>
      </c>
      <c r="I74" t="str">
        <f t="shared" si="20"/>
        <v>(unmarked) Cedar Lake Rd / Rt 616</v>
      </c>
      <c r="J74">
        <f t="shared" si="21"/>
      </c>
    </row>
    <row r="75" spans="1:10" ht="15">
      <c r="A75">
        <f ca="1" t="shared" si="13"/>
        <v>2</v>
      </c>
      <c r="B75">
        <f ca="1" t="shared" si="14"/>
        <v>42</v>
      </c>
      <c r="C75" t="str">
        <f t="shared" si="15"/>
        <v>Seg2!</v>
      </c>
      <c r="D75">
        <f ca="1" t="shared" si="16"/>
        <v>82.96</v>
      </c>
      <c r="E75">
        <f t="shared" si="22"/>
        <v>83.3</v>
      </c>
      <c r="F75" t="str">
        <f ca="1" t="shared" si="17"/>
        <v> T L</v>
      </c>
      <c r="G75" t="str">
        <f ca="1" t="shared" si="18"/>
        <v>Rt 94 (unmarked) (follow Columbia sign)</v>
      </c>
      <c r="H75" t="e">
        <f t="shared" si="19"/>
        <v>#VALUE!</v>
      </c>
      <c r="I75" t="str">
        <f t="shared" si="20"/>
        <v>Rt 94 (unmarked) (follow Columbia sign)</v>
      </c>
      <c r="J75">
        <f t="shared" si="21"/>
      </c>
    </row>
    <row r="76" spans="1:10" ht="15">
      <c r="A76">
        <f ca="1" t="shared" si="13"/>
        <v>2</v>
      </c>
      <c r="B76">
        <f ca="1" t="shared" si="14"/>
        <v>43</v>
      </c>
      <c r="C76" t="str">
        <f t="shared" si="15"/>
        <v>Seg2!</v>
      </c>
      <c r="D76">
        <f ca="1" t="shared" si="16"/>
        <v>83.22</v>
      </c>
      <c r="E76">
        <f t="shared" si="22"/>
        <v>83.6</v>
      </c>
      <c r="F76" t="str">
        <f ca="1" t="shared" si="17"/>
        <v> R</v>
      </c>
      <c r="G76" t="str">
        <f ca="1" t="shared" si="18"/>
        <v>Carhart St [Blairstown]</v>
      </c>
      <c r="H76" t="e">
        <f t="shared" si="19"/>
        <v>#VALUE!</v>
      </c>
      <c r="I76" t="str">
        <f t="shared" si="20"/>
        <v>Carhart St [Blairstown]</v>
      </c>
      <c r="J76">
        <f t="shared" si="21"/>
      </c>
    </row>
    <row r="77" spans="1:10" ht="15">
      <c r="A77">
        <f ca="1" t="shared" si="13"/>
        <v>2</v>
      </c>
      <c r="B77">
        <f ca="1" t="shared" si="14"/>
        <v>44</v>
      </c>
      <c r="C77" t="str">
        <f t="shared" si="15"/>
        <v>Seg2!</v>
      </c>
      <c r="D77">
        <f ca="1" t="shared" si="16"/>
        <v>83.31</v>
      </c>
      <c r="E77">
        <f t="shared" si="22"/>
        <v>83.7</v>
      </c>
      <c r="F77" t="str">
        <f ca="1" t="shared" si="17"/>
        <v> T L</v>
      </c>
      <c r="G77" t="str">
        <f ca="1" t="shared" si="18"/>
        <v>Main St (unmarked)</v>
      </c>
      <c r="H77" t="e">
        <f t="shared" si="19"/>
        <v>#VALUE!</v>
      </c>
      <c r="I77" t="str">
        <f t="shared" si="20"/>
        <v>Main St (unmarked)</v>
      </c>
      <c r="J77">
        <f t="shared" si="21"/>
      </c>
    </row>
    <row r="78" spans="1:10" ht="15">
      <c r="A78">
        <f ca="1" t="shared" si="13"/>
        <v>2</v>
      </c>
      <c r="B78">
        <f ca="1" t="shared" si="14"/>
        <v>45</v>
      </c>
      <c r="C78" t="str">
        <f t="shared" si="15"/>
        <v>Seg2!</v>
      </c>
      <c r="D78">
        <f ca="1" t="shared" si="16"/>
        <v>83.4</v>
      </c>
      <c r="E78">
        <f t="shared" si="22"/>
        <v>83.8</v>
      </c>
      <c r="F78" t="str">
        <f ca="1" t="shared" si="17"/>
        <v> STOP</v>
      </c>
      <c r="G78" t="str">
        <f ca="1" t="shared" si="18"/>
        <v>Controle Gourmet Gallery on left {Deli}</v>
      </c>
      <c r="H78">
        <f t="shared" si="19"/>
        <v>34</v>
      </c>
      <c r="I78" t="str">
        <f t="shared" si="20"/>
        <v>Controle Gourmet Gallery on left </v>
      </c>
      <c r="J78" t="str">
        <f t="shared" si="21"/>
        <v>Deli</v>
      </c>
    </row>
    <row r="79" spans="1:10" ht="15">
      <c r="A79">
        <f ca="1" t="shared" si="13"/>
        <v>2</v>
      </c>
      <c r="B79">
        <f ca="1" t="shared" si="14"/>
        <v>46</v>
      </c>
      <c r="C79" t="str">
        <f t="shared" si="15"/>
        <v>Seg2!</v>
      </c>
      <c r="D79">
        <f ca="1" t="shared" si="16"/>
        <v>83.41999999999999</v>
      </c>
      <c r="E79">
        <f t="shared" si="22"/>
        <v>83.8</v>
      </c>
      <c r="F79" t="str">
        <f ca="1" t="shared" si="17"/>
        <v> Backtrack</v>
      </c>
      <c r="G79" t="str">
        <f ca="1" t="shared" si="18"/>
        <v>Leave controle turning right on Main St{Limited services ahead}</v>
      </c>
      <c r="H79">
        <f t="shared" si="19"/>
        <v>40</v>
      </c>
      <c r="I79" t="str">
        <f t="shared" si="20"/>
        <v>Leave controle turning right on Main St</v>
      </c>
      <c r="J79" t="str">
        <f t="shared" si="21"/>
        <v>Limited services ahead</v>
      </c>
    </row>
    <row r="80" spans="1:10" ht="15">
      <c r="A80">
        <f ca="1" t="shared" si="13"/>
        <v>2</v>
      </c>
      <c r="B80">
        <f ca="1" t="shared" si="14"/>
        <v>47</v>
      </c>
      <c r="C80" t="str">
        <f t="shared" si="15"/>
        <v>Seg2!</v>
      </c>
      <c r="D80">
        <f ca="1" t="shared" si="16"/>
        <v>83.55</v>
      </c>
      <c r="E80">
        <f t="shared" si="22"/>
        <v>83.9</v>
      </c>
      <c r="F80" t="str">
        <f ca="1" t="shared" si="17"/>
        <v> 1st B L</v>
      </c>
      <c r="G80" t="str">
        <f ca="1" t="shared" si="18"/>
        <v>Blair Pl (uphill at Remax)</v>
      </c>
      <c r="H80" t="e">
        <f t="shared" si="19"/>
        <v>#VALUE!</v>
      </c>
      <c r="I80" t="str">
        <f t="shared" si="20"/>
        <v>Blair Pl (uphill at Remax)</v>
      </c>
      <c r="J80">
        <f t="shared" si="21"/>
      </c>
    </row>
    <row r="81" spans="1:10" ht="15">
      <c r="A81">
        <f ca="1" t="shared" si="13"/>
        <v>2</v>
      </c>
      <c r="B81">
        <f ca="1" t="shared" si="14"/>
        <v>48</v>
      </c>
      <c r="C81" t="str">
        <f t="shared" si="15"/>
        <v>Seg2!</v>
      </c>
      <c r="D81">
        <f ca="1" t="shared" si="16"/>
        <v>83.65</v>
      </c>
      <c r="E81">
        <f t="shared" si="22"/>
        <v>84</v>
      </c>
      <c r="F81" t="str">
        <f ca="1" t="shared" si="17"/>
        <v> 1st L</v>
      </c>
      <c r="G81" t="str">
        <f ca="1" t="shared" si="18"/>
        <v>Millbrook Rd (follow National Recreation sign)</v>
      </c>
      <c r="H81" t="e">
        <f t="shared" si="19"/>
        <v>#VALUE!</v>
      </c>
      <c r="I81" t="str">
        <f t="shared" si="20"/>
        <v>Millbrook Rd (follow National Recreation sign)</v>
      </c>
      <c r="J81">
        <f t="shared" si="21"/>
      </c>
    </row>
    <row r="82" spans="1:10" ht="15">
      <c r="A82">
        <f ca="1" t="shared" si="13"/>
        <v>2</v>
      </c>
      <c r="B82">
        <f ca="1" t="shared" si="14"/>
        <v>49</v>
      </c>
      <c r="C82" t="str">
        <f t="shared" si="15"/>
        <v>Seg2!</v>
      </c>
      <c r="D82">
        <f ca="1" t="shared" si="16"/>
        <v>85.55</v>
      </c>
      <c r="E82">
        <f t="shared" si="22"/>
        <v>85.9</v>
      </c>
      <c r="F82" t="str">
        <f ca="1" t="shared" si="17"/>
        <v> Pass</v>
      </c>
      <c r="G82" t="str">
        <f ca="1" t="shared" si="18"/>
        <v>Spring Valley Rd TRO Millbrook Rd / Rt 602 (towards yonder hills)</v>
      </c>
      <c r="H82" t="e">
        <f t="shared" si="19"/>
        <v>#VALUE!</v>
      </c>
      <c r="I82" t="str">
        <f t="shared" si="20"/>
        <v>Spring Valley Rd TRO Millbrook Rd / Rt 602 (towards yonder hills)</v>
      </c>
      <c r="J82">
        <f t="shared" si="21"/>
      </c>
    </row>
    <row r="83" spans="1:10" ht="15">
      <c r="A83">
        <f ca="1" t="shared" si="13"/>
        <v>2</v>
      </c>
      <c r="B83">
        <f ca="1" t="shared" si="14"/>
        <v>50</v>
      </c>
      <c r="C83" t="str">
        <f t="shared" si="15"/>
        <v>Seg2!</v>
      </c>
      <c r="D83">
        <f ca="1" t="shared" si="16"/>
        <v>89.72999999999999</v>
      </c>
      <c r="E83">
        <f t="shared" si="22"/>
        <v>90.1</v>
      </c>
      <c r="F83" t="str">
        <f ca="1" t="shared" si="17"/>
        <v> X</v>
      </c>
      <c r="G83" t="str">
        <f ca="1" t="shared" si="18"/>
        <v>Top of Millbrook climb (CAUTION on steep twisty descent)</v>
      </c>
      <c r="H83" t="e">
        <f t="shared" si="19"/>
        <v>#VALUE!</v>
      </c>
      <c r="I83" t="str">
        <f t="shared" si="20"/>
        <v>Top of Millbrook climb (CAUTION on steep twisty descent)</v>
      </c>
      <c r="J83">
        <f t="shared" si="21"/>
      </c>
    </row>
    <row r="84" spans="1:10" ht="15">
      <c r="A84">
        <f ca="1" t="shared" si="13"/>
        <v>2</v>
      </c>
      <c r="B84">
        <f ca="1" t="shared" si="14"/>
        <v>51</v>
      </c>
      <c r="C84" t="str">
        <f t="shared" si="15"/>
        <v>Seg2!</v>
      </c>
      <c r="D84">
        <f ca="1" t="shared" si="16"/>
        <v>90.81</v>
      </c>
      <c r="E84">
        <f t="shared" si="22"/>
        <v>91.2</v>
      </c>
      <c r="F84" t="str">
        <f ca="1" t="shared" si="17"/>
        <v> 1st R</v>
      </c>
      <c r="G84" t="str">
        <f ca="1" t="shared" si="18"/>
        <v>(unmarked) Old Mine Rd  [Millbrook Village] follow Walpack</v>
      </c>
      <c r="H84" t="e">
        <f t="shared" si="19"/>
        <v>#VALUE!</v>
      </c>
      <c r="I84" t="str">
        <f t="shared" si="20"/>
        <v>(unmarked) Old Mine Rd  [Millbrook Village] follow Walpack</v>
      </c>
      <c r="J84">
        <f t="shared" si="21"/>
      </c>
    </row>
    <row r="85" spans="1:10" ht="15">
      <c r="A85">
        <f aca="true" ca="1" t="shared" si="23" ref="A85:A96">IF(INDIRECT($C84&amp;"A"&amp;$B84+1)&lt;&gt;"",A84,A84+1)</f>
        <v>2</v>
      </c>
      <c r="B85">
        <f aca="true" ca="1" t="shared" si="24" ref="B85:B96">IF(INDIRECT($C84&amp;"A"&amp;$B84+1)&lt;&gt;"",B84+1,3)</f>
        <v>52</v>
      </c>
      <c r="C85" t="str">
        <f aca="true" t="shared" si="25" ref="C85:C96">"Seg"&amp;A85&amp;"!"</f>
        <v>Seg2!</v>
      </c>
      <c r="D85">
        <f ca="1" t="shared" si="16"/>
        <v>92.08</v>
      </c>
      <c r="E85">
        <f t="shared" si="22"/>
        <v>92.5</v>
      </c>
      <c r="F85" t="str">
        <f ca="1" t="shared" si="17"/>
        <v> EXTREME CAUTION</v>
      </c>
      <c r="G85" t="str">
        <f ca="1" t="shared" si="18"/>
        <v>ROUGH DESCENT -- watch for LARGE potholes on STEEP descent</v>
      </c>
      <c r="H85" t="e">
        <f t="shared" si="19"/>
        <v>#VALUE!</v>
      </c>
      <c r="I85" t="str">
        <f t="shared" si="20"/>
        <v>ROUGH DESCENT -- watch for LARGE potholes on STEEP descent</v>
      </c>
      <c r="J85">
        <f t="shared" si="21"/>
      </c>
    </row>
    <row r="86" spans="1:10" ht="15">
      <c r="A86">
        <f ca="1" t="shared" si="23"/>
        <v>2</v>
      </c>
      <c r="B86">
        <f ca="1" t="shared" si="24"/>
        <v>53</v>
      </c>
      <c r="C86" t="str">
        <f t="shared" si="25"/>
        <v>Seg2!</v>
      </c>
      <c r="D86">
        <f ca="1" t="shared" si="16"/>
        <v>92.91999999999999</v>
      </c>
      <c r="E86">
        <f t="shared" si="22"/>
        <v>93.4</v>
      </c>
      <c r="F86" t="str">
        <f ca="1" t="shared" si="17"/>
        <v> T R</v>
      </c>
      <c r="G86" t="str">
        <f ca="1" t="shared" si="18"/>
        <v>(unmarked) NPS 615 (follow Walpack) Caution: abrupt stop at bottom of Rough steep descent</v>
      </c>
      <c r="H86" t="e">
        <f t="shared" si="19"/>
        <v>#VALUE!</v>
      </c>
      <c r="I86" t="str">
        <f t="shared" si="20"/>
        <v>(unmarked) NPS 615 (follow Walpack) Caution: abrupt stop at bottom of Rough steep descent</v>
      </c>
      <c r="J86">
        <f t="shared" si="21"/>
      </c>
    </row>
    <row r="87" spans="1:10" ht="15">
      <c r="A87">
        <f ca="1" t="shared" si="23"/>
        <v>2</v>
      </c>
      <c r="B87">
        <f ca="1" t="shared" si="24"/>
        <v>54</v>
      </c>
      <c r="C87" t="str">
        <f t="shared" si="25"/>
        <v>Seg2!</v>
      </c>
      <c r="D87">
        <f ca="1" t="shared" si="16"/>
        <v>102.6</v>
      </c>
      <c r="E87">
        <f t="shared" si="22"/>
        <v>103.1</v>
      </c>
      <c r="F87" t="str">
        <f ca="1" t="shared" si="17"/>
        <v> B R</v>
      </c>
      <c r="G87" t="str">
        <f ca="1" t="shared" si="18"/>
        <v>Rt 615 [Peters Valley] (towards red trim house)</v>
      </c>
      <c r="H87" t="e">
        <f t="shared" si="19"/>
        <v>#VALUE!</v>
      </c>
      <c r="I87" t="str">
        <f t="shared" si="20"/>
        <v>Rt 615 [Peters Valley] (towards red trim house)</v>
      </c>
      <c r="J87">
        <f t="shared" si="21"/>
      </c>
    </row>
    <row r="88" spans="1:10" ht="15">
      <c r="A88">
        <f ca="1" t="shared" si="23"/>
        <v>2</v>
      </c>
      <c r="B88">
        <f ca="1" t="shared" si="24"/>
        <v>55</v>
      </c>
      <c r="C88" t="str">
        <f t="shared" si="25"/>
        <v>Seg2!</v>
      </c>
      <c r="D88">
        <f ca="1" t="shared" si="16"/>
        <v>103.28999999999999</v>
      </c>
      <c r="E88">
        <f t="shared" si="22"/>
        <v>103.8</v>
      </c>
      <c r="F88" t="str">
        <f ca="1" t="shared" si="17"/>
        <v> B L</v>
      </c>
      <c r="G88" t="str">
        <f ca="1" t="shared" si="18"/>
        <v>Rt 640</v>
      </c>
      <c r="H88" t="e">
        <f t="shared" si="19"/>
        <v>#VALUE!</v>
      </c>
      <c r="I88" t="str">
        <f t="shared" si="20"/>
        <v>Rt 640</v>
      </c>
      <c r="J88">
        <f t="shared" si="21"/>
      </c>
    </row>
    <row r="89" spans="1:10" ht="15">
      <c r="A89">
        <f ca="1" t="shared" si="23"/>
        <v>2</v>
      </c>
      <c r="B89">
        <f ca="1" t="shared" si="24"/>
        <v>56</v>
      </c>
      <c r="C89" t="str">
        <f t="shared" si="25"/>
        <v>Seg2!</v>
      </c>
      <c r="D89">
        <f ca="1" t="shared" si="16"/>
        <v>104.63</v>
      </c>
      <c r="E89">
        <f t="shared" si="22"/>
        <v>105.1</v>
      </c>
      <c r="F89" t="str">
        <f ca="1" t="shared" si="17"/>
        <v> Straight</v>
      </c>
      <c r="G89" t="str">
        <f ca="1" t="shared" si="18"/>
        <v>(TFL) joining Rt 560 East [Layton] {Restaurant}</v>
      </c>
      <c r="H89">
        <f t="shared" si="19"/>
        <v>36</v>
      </c>
      <c r="I89" t="str">
        <f t="shared" si="20"/>
        <v>(TFL) joining Rt 560 East [Layton] </v>
      </c>
      <c r="J89" t="str">
        <f t="shared" si="21"/>
        <v>Restaurant</v>
      </c>
    </row>
    <row r="90" spans="1:10" ht="15">
      <c r="A90">
        <f ca="1" t="shared" si="23"/>
        <v>2</v>
      </c>
      <c r="B90">
        <f ca="1" t="shared" si="24"/>
        <v>57</v>
      </c>
      <c r="C90" t="str">
        <f t="shared" si="25"/>
        <v>Seg2!</v>
      </c>
      <c r="D90">
        <f ca="1" t="shared" si="16"/>
        <v>104.86999999999999</v>
      </c>
      <c r="E90">
        <f t="shared" si="22"/>
        <v>105.4</v>
      </c>
      <c r="F90" t="str">
        <f ca="1" t="shared" si="17"/>
        <v> L</v>
      </c>
      <c r="G90" t="str">
        <f ca="1" t="shared" si="18"/>
        <v>Rt 645 / Layton Hainesville Rd</v>
      </c>
      <c r="H90" t="e">
        <f t="shared" si="19"/>
        <v>#VALUE!</v>
      </c>
      <c r="I90" t="str">
        <f t="shared" si="20"/>
        <v>Rt 645 / Layton Hainesville Rd</v>
      </c>
      <c r="J90">
        <f t="shared" si="21"/>
      </c>
    </row>
    <row r="91" spans="1:10" ht="15">
      <c r="A91">
        <f ca="1" t="shared" si="23"/>
        <v>2</v>
      </c>
      <c r="B91">
        <f ca="1" t="shared" si="24"/>
        <v>58</v>
      </c>
      <c r="C91" t="str">
        <f t="shared" si="25"/>
        <v>Seg2!</v>
      </c>
      <c r="D91">
        <f ca="1" t="shared" si="16"/>
        <v>107.11999999999999</v>
      </c>
      <c r="E91">
        <f t="shared" si="22"/>
        <v>107.6</v>
      </c>
      <c r="F91" t="str">
        <f ca="1" t="shared" si="17"/>
        <v> Pass</v>
      </c>
      <c r="G91" t="str">
        <f ca="1" t="shared" si="18"/>
        <v>Rt 675 / Fire Station</v>
      </c>
      <c r="H91" t="e">
        <f t="shared" si="19"/>
        <v>#VALUE!</v>
      </c>
      <c r="I91" t="str">
        <f t="shared" si="20"/>
        <v>Rt 675 / Fire Station</v>
      </c>
      <c r="J91">
        <f t="shared" si="21"/>
      </c>
    </row>
    <row r="92" spans="1:10" ht="15">
      <c r="A92">
        <f ca="1" t="shared" si="23"/>
        <v>2</v>
      </c>
      <c r="B92">
        <f ca="1" t="shared" si="24"/>
        <v>59</v>
      </c>
      <c r="C92" t="str">
        <f t="shared" si="25"/>
        <v>Seg2!</v>
      </c>
      <c r="D92">
        <f ca="1" t="shared" si="16"/>
        <v>107.91</v>
      </c>
      <c r="E92">
        <f t="shared" si="22"/>
        <v>108.4</v>
      </c>
      <c r="F92" t="str">
        <f ca="1" t="shared" si="17"/>
        <v> L</v>
      </c>
      <c r="G92" t="str">
        <f ca="1" t="shared" si="18"/>
        <v>Rt 646 / Jager Rd</v>
      </c>
      <c r="H92" t="e">
        <f t="shared" si="19"/>
        <v>#VALUE!</v>
      </c>
      <c r="I92" t="str">
        <f t="shared" si="20"/>
        <v>Rt 646 / Jager Rd</v>
      </c>
      <c r="J92">
        <f t="shared" si="21"/>
      </c>
    </row>
    <row r="93" spans="1:10" ht="15">
      <c r="A93">
        <f ca="1" t="shared" si="23"/>
        <v>2</v>
      </c>
      <c r="B93">
        <f ca="1" t="shared" si="24"/>
        <v>60</v>
      </c>
      <c r="C93" t="str">
        <f t="shared" si="25"/>
        <v>Seg2!</v>
      </c>
      <c r="D93">
        <f ca="1" t="shared" si="16"/>
        <v>108.44</v>
      </c>
      <c r="E93">
        <f t="shared" si="22"/>
        <v>109</v>
      </c>
      <c r="F93" t="str">
        <f ca="1" t="shared" si="17"/>
        <v> BL</v>
      </c>
      <c r="G93" t="str">
        <f ca="1" t="shared" si="18"/>
        <v>FMR TRO Rt 646 / Jager Rd (Jct Ayers Rd)</v>
      </c>
      <c r="H93" t="e">
        <f t="shared" si="19"/>
        <v>#VALUE!</v>
      </c>
      <c r="I93" t="str">
        <f t="shared" si="20"/>
        <v>FMR TRO Rt 646 / Jager Rd (Jct Ayers Rd)</v>
      </c>
      <c r="J93">
        <f t="shared" si="21"/>
      </c>
    </row>
    <row r="94" spans="1:10" ht="15">
      <c r="A94">
        <f ca="1" t="shared" si="23"/>
        <v>2</v>
      </c>
      <c r="B94">
        <f ca="1" t="shared" si="24"/>
        <v>61</v>
      </c>
      <c r="C94" t="str">
        <f t="shared" si="25"/>
        <v>Seg2!</v>
      </c>
      <c r="D94">
        <f ca="1" t="shared" si="16"/>
        <v>109.47</v>
      </c>
      <c r="E94">
        <f t="shared" si="22"/>
        <v>110</v>
      </c>
      <c r="F94" t="str">
        <f ca="1" t="shared" si="17"/>
        <v> T R</v>
      </c>
      <c r="G94" t="str">
        <f ca="1" t="shared" si="18"/>
        <v>(unmarked) Old Mine Rd (Caution abrupt stop)</v>
      </c>
      <c r="H94" t="e">
        <f t="shared" si="19"/>
        <v>#VALUE!</v>
      </c>
      <c r="I94" t="str">
        <f t="shared" si="20"/>
        <v>(unmarked) Old Mine Rd (Caution abrupt stop)</v>
      </c>
      <c r="J94">
        <f t="shared" si="21"/>
      </c>
    </row>
    <row r="95" spans="1:10" ht="15">
      <c r="A95">
        <f ca="1" t="shared" si="23"/>
        <v>2</v>
      </c>
      <c r="B95">
        <f ca="1" t="shared" si="24"/>
        <v>62</v>
      </c>
      <c r="C95" t="str">
        <f t="shared" si="25"/>
        <v>Seg2!</v>
      </c>
      <c r="D95">
        <f ca="1" t="shared" si="16"/>
        <v>110.13</v>
      </c>
      <c r="E95">
        <f t="shared" si="22"/>
        <v>110.7</v>
      </c>
      <c r="F95" t="str">
        <f ca="1" t="shared" si="17"/>
        <v> Caution</v>
      </c>
      <c r="G95" t="str">
        <f ca="1" t="shared" si="18"/>
        <v>Rough road/gravel patches ahead</v>
      </c>
      <c r="H95" t="e">
        <f t="shared" si="19"/>
        <v>#VALUE!</v>
      </c>
      <c r="I95" t="str">
        <f t="shared" si="20"/>
        <v>Rough road/gravel patches ahead</v>
      </c>
      <c r="J95">
        <f t="shared" si="21"/>
      </c>
    </row>
    <row r="96" spans="1:10" ht="15">
      <c r="A96">
        <f ca="1" t="shared" si="23"/>
        <v>2</v>
      </c>
      <c r="B96">
        <f ca="1" t="shared" si="24"/>
        <v>63</v>
      </c>
      <c r="C96" t="str">
        <f t="shared" si="25"/>
        <v>Seg2!</v>
      </c>
      <c r="D96">
        <f ca="1" t="shared" si="16"/>
        <v>112.75999999999999</v>
      </c>
      <c r="E96">
        <f t="shared" si="22"/>
        <v>113.3</v>
      </c>
      <c r="F96" t="str">
        <f ca="1" t="shared" si="17"/>
        <v> TL+QBR</v>
      </c>
      <c r="G96" t="str">
        <f ca="1" t="shared" si="18"/>
        <v>Rt 521 North / River Rd (crossing Rt 206) NOT Deckertown Tpk</v>
      </c>
      <c r="H96" t="e">
        <f t="shared" si="19"/>
        <v>#VALUE!</v>
      </c>
      <c r="I96" t="str">
        <f t="shared" si="20"/>
        <v>Rt 521 North / River Rd (crossing Rt 206) NOT Deckertown Tpk</v>
      </c>
      <c r="J96">
        <f t="shared" si="21"/>
      </c>
    </row>
    <row r="97" spans="1:10" ht="15">
      <c r="A97">
        <f aca="true" ca="1" t="shared" si="26" ref="A97:A109">IF(INDIRECT($C96&amp;"A"&amp;$B96+1)&lt;&gt;"",A96,A96+1)</f>
        <v>2</v>
      </c>
      <c r="B97">
        <f aca="true" ca="1" t="shared" si="27" ref="B97:B109">IF(INDIRECT($C96&amp;"A"&amp;$B96+1)&lt;&gt;"",B96+1,3)</f>
        <v>64</v>
      </c>
      <c r="C97" t="str">
        <f aca="true" t="shared" si="28" ref="C97:C109">"Seg"&amp;A97&amp;"!"</f>
        <v>Seg2!</v>
      </c>
      <c r="D97">
        <f ca="1" t="shared" si="16"/>
        <v>120.17999999999999</v>
      </c>
      <c r="E97">
        <f t="shared" si="22"/>
        <v>120.8</v>
      </c>
      <c r="F97" t="str">
        <f ca="1" t="shared" si="17"/>
        <v> T L</v>
      </c>
      <c r="G97" t="str">
        <f ca="1" t="shared" si="18"/>
        <v>(TFL) Rt 6 / Main St [Port Jervis NY]</v>
      </c>
      <c r="H97" t="e">
        <f t="shared" si="19"/>
        <v>#VALUE!</v>
      </c>
      <c r="I97" t="str">
        <f t="shared" si="20"/>
        <v>(TFL) Rt 6 / Main St [Port Jervis NY]</v>
      </c>
      <c r="J97">
        <f t="shared" si="21"/>
      </c>
    </row>
    <row r="98" spans="1:10" ht="15">
      <c r="A98">
        <f ca="1" t="shared" si="26"/>
        <v>2</v>
      </c>
      <c r="B98">
        <f ca="1" t="shared" si="27"/>
        <v>65</v>
      </c>
      <c r="C98" t="str">
        <f t="shared" si="28"/>
        <v>Seg2!</v>
      </c>
      <c r="D98">
        <f ca="1" t="shared" si="16"/>
        <v>121.35</v>
      </c>
      <c r="E98">
        <f t="shared" si="22"/>
        <v>121.9</v>
      </c>
      <c r="F98" t="str">
        <f ca="1" t="shared" si="17"/>
        <v> STOP</v>
      </c>
      <c r="G98" t="str">
        <f ca="1" t="shared" si="18"/>
        <v>Controle Muller's Port Jervis Diner (on left at TFL){Diner stores}</v>
      </c>
      <c r="H98">
        <f t="shared" si="19"/>
        <v>53</v>
      </c>
      <c r="I98" t="str">
        <f t="shared" si="20"/>
        <v>Controle Muller's Port Jervis Diner (on left at TFL)</v>
      </c>
      <c r="J98" t="str">
        <f t="shared" si="21"/>
        <v>Diner stores</v>
      </c>
    </row>
    <row r="99" spans="1:10" ht="15">
      <c r="A99">
        <f ca="1" t="shared" si="26"/>
        <v>2</v>
      </c>
      <c r="B99">
        <f ca="1" t="shared" si="27"/>
        <v>66</v>
      </c>
      <c r="C99" t="str">
        <f t="shared" si="28"/>
        <v>Seg2!</v>
      </c>
      <c r="D99">
        <f ca="1" t="shared" si="16"/>
        <v>121.36</v>
      </c>
      <c r="E99">
        <f t="shared" si="22"/>
        <v>121.9</v>
      </c>
      <c r="F99" t="str">
        <f ca="1" t="shared" si="17"/>
        <v> Continue</v>
      </c>
      <c r="G99" t="str">
        <f ca="1" t="shared" si="18"/>
        <v>Leave controle left on Rt 6 / Main St (same direction)</v>
      </c>
      <c r="H99" t="e">
        <f t="shared" si="19"/>
        <v>#VALUE!</v>
      </c>
      <c r="I99" t="str">
        <f t="shared" si="20"/>
        <v>Leave controle left on Rt 6 / Main St (same direction)</v>
      </c>
      <c r="J99">
        <f t="shared" si="21"/>
      </c>
    </row>
    <row r="100" spans="1:10" ht="15">
      <c r="A100">
        <f ca="1" t="shared" si="26"/>
        <v>2</v>
      </c>
      <c r="B100">
        <f ca="1" t="shared" si="27"/>
        <v>67</v>
      </c>
      <c r="C100" t="str">
        <f t="shared" si="28"/>
        <v>Seg2!</v>
      </c>
      <c r="D100">
        <f ca="1" t="shared" si="16"/>
        <v>121.6</v>
      </c>
      <c r="E100">
        <f t="shared" si="22"/>
        <v>122.2</v>
      </c>
      <c r="F100" t="str">
        <f ca="1" t="shared" si="17"/>
        <v> Straight</v>
      </c>
      <c r="G100" t="str">
        <f ca="1" t="shared" si="18"/>
        <v>(TFL) Joining Rt 42{Stores MiniMart}</v>
      </c>
      <c r="H100">
        <f t="shared" si="19"/>
        <v>20</v>
      </c>
      <c r="I100" t="str">
        <f t="shared" si="20"/>
        <v>(TFL) Joining Rt 42</v>
      </c>
      <c r="J100" t="str">
        <f t="shared" si="21"/>
        <v>Stores MiniMart</v>
      </c>
    </row>
    <row r="101" spans="1:10" ht="15">
      <c r="A101">
        <f ca="1" t="shared" si="26"/>
        <v>2</v>
      </c>
      <c r="B101">
        <f ca="1" t="shared" si="27"/>
        <v>68</v>
      </c>
      <c r="C101" t="str">
        <f t="shared" si="28"/>
        <v>Seg2!</v>
      </c>
      <c r="D101">
        <f ca="1" t="shared" si="16"/>
        <v>124.42999999999999</v>
      </c>
      <c r="E101">
        <f t="shared" si="22"/>
        <v>125</v>
      </c>
      <c r="F101" t="str">
        <f ca="1" t="shared" si="17"/>
        <v> Straight</v>
      </c>
      <c r="G101" t="str">
        <f ca="1" t="shared" si="18"/>
        <v>FMR Rt 97 (leaving Rt 42 which goes right)</v>
      </c>
      <c r="H101" t="e">
        <f t="shared" si="19"/>
        <v>#VALUE!</v>
      </c>
      <c r="I101" t="str">
        <f t="shared" si="20"/>
        <v>FMR Rt 97 (leaving Rt 42 which goes right)</v>
      </c>
      <c r="J101">
        <f t="shared" si="21"/>
      </c>
    </row>
    <row r="102" spans="1:10" ht="15">
      <c r="A102">
        <f ca="1" t="shared" si="26"/>
        <v>2</v>
      </c>
      <c r="B102">
        <f ca="1" t="shared" si="27"/>
        <v>69</v>
      </c>
      <c r="C102" t="str">
        <f t="shared" si="28"/>
        <v>Seg2!</v>
      </c>
      <c r="D102">
        <f ca="1" t="shared" si="16"/>
        <v>126.92999999999999</v>
      </c>
      <c r="E102">
        <f t="shared" si="22"/>
        <v>127.5</v>
      </c>
      <c r="F102" t="str">
        <f ca="1" t="shared" si="17"/>
        <v> Pass</v>
      </c>
      <c r="G102" t="str">
        <f ca="1" t="shared" si="18"/>
        <v>POI Hawk's Nest overlooks on left) {Scenic Vista}</v>
      </c>
      <c r="H102">
        <f t="shared" si="19"/>
        <v>36</v>
      </c>
      <c r="I102" t="str">
        <f t="shared" si="20"/>
        <v>POI Hawk's Nest overlooks on left) </v>
      </c>
      <c r="J102" t="str">
        <f t="shared" si="21"/>
        <v>Scenic Vista</v>
      </c>
    </row>
    <row r="103" spans="1:10" ht="15">
      <c r="A103">
        <f ca="1" t="shared" si="26"/>
        <v>2</v>
      </c>
      <c r="B103">
        <f ca="1" t="shared" si="27"/>
        <v>70</v>
      </c>
      <c r="C103" t="str">
        <f t="shared" si="28"/>
        <v>Seg2!</v>
      </c>
      <c r="D103">
        <f ca="1" t="shared" si="16"/>
        <v>127.88</v>
      </c>
      <c r="E103">
        <f t="shared" si="22"/>
        <v>128.5</v>
      </c>
      <c r="F103" t="str">
        <f ca="1" t="shared" si="17"/>
        <v> ***R</v>
      </c>
      <c r="G103" t="str">
        <f ca="1" t="shared" si="18"/>
        <v>Rt 31 (at bottom of descent).."Glen Spey 5"</v>
      </c>
      <c r="H103" t="e">
        <f t="shared" si="19"/>
        <v>#VALUE!</v>
      </c>
      <c r="I103" t="str">
        <f t="shared" si="20"/>
        <v>Rt 31 (at bottom of descent).."Glen Spey 5"</v>
      </c>
      <c r="J103">
        <f t="shared" si="21"/>
      </c>
    </row>
    <row r="104" spans="1:10" ht="15">
      <c r="A104">
        <f ca="1" t="shared" si="26"/>
        <v>2</v>
      </c>
      <c r="B104">
        <f ca="1" t="shared" si="27"/>
        <v>71</v>
      </c>
      <c r="C104" t="str">
        <f t="shared" si="28"/>
        <v>Seg2!</v>
      </c>
      <c r="D104">
        <f ca="1" t="shared" si="16"/>
        <v>133.20999999999998</v>
      </c>
      <c r="E104">
        <f t="shared" si="22"/>
        <v>133.9</v>
      </c>
      <c r="F104" t="str">
        <f ca="1" t="shared" si="17"/>
        <v> TR + QL</v>
      </c>
      <c r="G104" t="str">
        <f ca="1" t="shared" si="18"/>
        <v>Rt 32 (crossing Rt 42/41) [Glen Spey] {Pizza}</v>
      </c>
      <c r="H104">
        <f t="shared" si="19"/>
        <v>39</v>
      </c>
      <c r="I104" t="str">
        <f t="shared" si="20"/>
        <v>Rt 32 (crossing Rt 42/41) [Glen Spey] </v>
      </c>
      <c r="J104" t="str">
        <f t="shared" si="21"/>
        <v>Pizza</v>
      </c>
    </row>
    <row r="105" spans="1:10" ht="15">
      <c r="A105">
        <f ca="1" t="shared" si="26"/>
        <v>2</v>
      </c>
      <c r="B105">
        <f ca="1" t="shared" si="27"/>
        <v>72</v>
      </c>
      <c r="C105" t="str">
        <f t="shared" si="28"/>
        <v>Seg2!</v>
      </c>
      <c r="D105">
        <f ca="1" t="shared" si="16"/>
        <v>138.44</v>
      </c>
      <c r="E105">
        <f t="shared" si="22"/>
        <v>139.1</v>
      </c>
      <c r="F105" t="str">
        <f ca="1" t="shared" si="17"/>
        <v> STOP</v>
      </c>
      <c r="G105" t="str">
        <f ca="1" t="shared" si="18"/>
        <v>Controle The Corner (on right at TFL junction Rt 55){Deli}</v>
      </c>
      <c r="H105">
        <f t="shared" si="19"/>
        <v>53</v>
      </c>
      <c r="I105" t="str">
        <f t="shared" si="20"/>
        <v>Controle The Corner (on right at TFL junction Rt 55)</v>
      </c>
      <c r="J105" t="str">
        <f t="shared" si="21"/>
        <v>Deli</v>
      </c>
    </row>
    <row r="106" spans="1:10" ht="15">
      <c r="A106">
        <f ca="1" t="shared" si="26"/>
        <v>2</v>
      </c>
      <c r="B106">
        <f ca="1" t="shared" si="27"/>
        <v>73</v>
      </c>
      <c r="C106" t="str">
        <f t="shared" si="28"/>
        <v>Seg2!</v>
      </c>
      <c r="D106">
        <f ca="1" t="shared" si="16"/>
        <v>138.48000000000002</v>
      </c>
      <c r="E106">
        <f t="shared" si="22"/>
        <v>139.2</v>
      </c>
      <c r="F106" t="str">
        <f ca="1" t="shared" si="17"/>
        <v> Turn</v>
      </c>
      <c r="G106" t="str">
        <f ca="1" t="shared" si="18"/>
        <v>Leave controle turning right on Rt 55 (towards Bethany Church)</v>
      </c>
      <c r="H106" t="e">
        <f t="shared" si="19"/>
        <v>#VALUE!</v>
      </c>
      <c r="I106" t="str">
        <f t="shared" si="20"/>
        <v>Leave controle turning right on Rt 55 (towards Bethany Church)</v>
      </c>
      <c r="J106">
        <f t="shared" si="21"/>
      </c>
    </row>
    <row r="107" spans="1:10" ht="15">
      <c r="A107">
        <f ca="1" t="shared" si="26"/>
        <v>2</v>
      </c>
      <c r="B107">
        <f ca="1" t="shared" si="27"/>
        <v>74</v>
      </c>
      <c r="C107" t="str">
        <f t="shared" si="28"/>
        <v>Seg2!</v>
      </c>
      <c r="D107">
        <f ca="1" t="shared" si="16"/>
        <v>142.37</v>
      </c>
      <c r="E107">
        <f t="shared" si="22"/>
        <v>143.1</v>
      </c>
      <c r="F107" t="str">
        <f ca="1" t="shared" si="17"/>
        <v> R</v>
      </c>
      <c r="G107" t="str">
        <f ca="1" t="shared" si="18"/>
        <v>(TFL) (unmarked) Rt 97 (Jct Rt 434)  [Barryville NY]{Store}</v>
      </c>
      <c r="H107">
        <f t="shared" si="19"/>
        <v>53</v>
      </c>
      <c r="I107" t="str">
        <f t="shared" si="20"/>
        <v>(TFL) (unmarked) Rt 97 (Jct Rt 434)  [Barryville NY]</v>
      </c>
      <c r="J107" t="str">
        <f t="shared" si="21"/>
        <v>Store</v>
      </c>
    </row>
    <row r="108" spans="1:10" ht="15">
      <c r="A108">
        <f ca="1" t="shared" si="26"/>
        <v>2</v>
      </c>
      <c r="B108">
        <f ca="1" t="shared" si="27"/>
        <v>75</v>
      </c>
      <c r="C108" t="str">
        <f t="shared" si="28"/>
        <v>Seg2!</v>
      </c>
      <c r="D108">
        <f ca="1" t="shared" si="16"/>
        <v>146.47</v>
      </c>
      <c r="E108">
        <f t="shared" si="22"/>
        <v>147.2</v>
      </c>
      <c r="F108" t="str">
        <f ca="1" t="shared" si="17"/>
        <v> L</v>
      </c>
      <c r="G108" t="str">
        <f ca="1" t="shared" si="18"/>
        <v>(unmarked) Roebling bridge / Rt 168 (ride bike across bridge)</v>
      </c>
      <c r="H108" t="e">
        <f t="shared" si="19"/>
        <v>#VALUE!</v>
      </c>
      <c r="I108" t="str">
        <f t="shared" si="20"/>
        <v>(unmarked) Roebling bridge / Rt 168 (ride bike across bridge)</v>
      </c>
      <c r="J108">
        <f t="shared" si="21"/>
      </c>
    </row>
    <row r="109" spans="1:10" ht="15">
      <c r="A109">
        <f ca="1" t="shared" si="26"/>
        <v>2</v>
      </c>
      <c r="B109">
        <f ca="1" t="shared" si="27"/>
        <v>76</v>
      </c>
      <c r="C109" t="str">
        <f t="shared" si="28"/>
        <v>Seg2!</v>
      </c>
      <c r="D109">
        <f ca="1" t="shared" si="16"/>
        <v>146.64</v>
      </c>
      <c r="E109">
        <f t="shared" si="22"/>
        <v>147.4</v>
      </c>
      <c r="F109" t="str">
        <f ca="1" t="shared" si="17"/>
        <v> T R</v>
      </c>
      <c r="G109" t="str">
        <f ca="1" t="shared" si="18"/>
        <v>(unmarked) Lackawaxen Scenic Dr ..follow "Zane Grey"</v>
      </c>
      <c r="H109" t="e">
        <f t="shared" si="19"/>
        <v>#VALUE!</v>
      </c>
      <c r="I109" t="str">
        <f t="shared" si="20"/>
        <v>(unmarked) Lackawaxen Scenic Dr ..follow "Zane Grey"</v>
      </c>
      <c r="J109">
        <f t="shared" si="21"/>
      </c>
    </row>
    <row r="110" spans="1:10" ht="15">
      <c r="A110">
        <f aca="true" ca="1" t="shared" si="29" ref="A110:A145">IF(INDIRECT($C109&amp;"A"&amp;$B109+1)&lt;&gt;"",A109,A109+1)</f>
        <v>2</v>
      </c>
      <c r="B110">
        <f aca="true" ca="1" t="shared" si="30" ref="B110:B145">IF(INDIRECT($C109&amp;"A"&amp;$B109+1)&lt;&gt;"",B109+1,3)</f>
        <v>77</v>
      </c>
      <c r="C110" t="str">
        <f aca="true" t="shared" si="31" ref="C110:C145">"Seg"&amp;A110&amp;"!"</f>
        <v>Seg2!</v>
      </c>
      <c r="D110">
        <f ca="1" t="shared" si="16"/>
        <v>147.22</v>
      </c>
      <c r="E110">
        <f t="shared" si="22"/>
        <v>147.9</v>
      </c>
      <c r="F110" t="str">
        <f ca="1" t="shared" si="17"/>
        <v> T R</v>
      </c>
      <c r="G110" t="str">
        <f ca="1">INDIRECT($C110&amp;"A"&amp;$B110)</f>
        <v>(SS) Rt 590 West{Deli}</v>
      </c>
      <c r="H110">
        <f t="shared" si="19"/>
        <v>17</v>
      </c>
      <c r="I110" t="str">
        <f t="shared" si="20"/>
        <v>(SS) Rt 590 West</v>
      </c>
      <c r="J110" t="str">
        <f t="shared" si="21"/>
        <v>Deli</v>
      </c>
    </row>
    <row r="111" spans="1:10" ht="15">
      <c r="A111">
        <f ca="1" t="shared" si="29"/>
        <v>2</v>
      </c>
      <c r="B111">
        <f ca="1" t="shared" si="30"/>
        <v>78</v>
      </c>
      <c r="C111" t="str">
        <f t="shared" si="31"/>
        <v>Seg2!</v>
      </c>
      <c r="D111">
        <f ca="1" t="shared" si="16"/>
        <v>150.95</v>
      </c>
      <c r="E111">
        <f t="shared" si="22"/>
        <v>151.7</v>
      </c>
      <c r="F111" t="str">
        <f ca="1" t="shared" si="17"/>
        <v> Straight</v>
      </c>
      <c r="G111" t="str">
        <f ca="1" t="shared" si="18"/>
        <v>(SS) Towpath Rd / Rt 4006 (leaving Rt 590){Restaurant}</v>
      </c>
      <c r="H111">
        <f t="shared" si="19"/>
        <v>43</v>
      </c>
      <c r="I111" t="str">
        <f t="shared" si="20"/>
        <v>(SS) Towpath Rd / Rt 4006 (leaving Rt 590)</v>
      </c>
      <c r="J111" t="str">
        <f t="shared" si="21"/>
        <v>Restaurant</v>
      </c>
    </row>
    <row r="112" spans="1:10" ht="15">
      <c r="A112">
        <f ca="1" t="shared" si="29"/>
        <v>2</v>
      </c>
      <c r="B112">
        <f ca="1" t="shared" si="30"/>
        <v>79</v>
      </c>
      <c r="C112" t="str">
        <f t="shared" si="31"/>
        <v>Seg2!</v>
      </c>
      <c r="D112">
        <f ca="1" t="shared" si="16"/>
        <v>159.06</v>
      </c>
      <c r="E112">
        <f t="shared" si="22"/>
        <v>159.8</v>
      </c>
      <c r="F112" t="str">
        <f ca="1" t="shared" si="17"/>
        <v> ***Sharp L</v>
      </c>
      <c r="G112" t="str">
        <f ca="1" t="shared" si="18"/>
        <v>(unmarked) Kimbles Rd (Hendricks on right) (just past cemetary at top of climb)</v>
      </c>
      <c r="H112" t="e">
        <f t="shared" si="19"/>
        <v>#VALUE!</v>
      </c>
      <c r="I112" t="str">
        <f t="shared" si="20"/>
        <v>(unmarked) Kimbles Rd (Hendricks on right) (just past cemetary at top of climb)</v>
      </c>
      <c r="J112">
        <f t="shared" si="21"/>
      </c>
    </row>
    <row r="113" spans="1:10" ht="15">
      <c r="A113">
        <f ca="1" t="shared" si="29"/>
        <v>2</v>
      </c>
      <c r="B113">
        <f ca="1" t="shared" si="30"/>
        <v>80</v>
      </c>
      <c r="C113" t="str">
        <f t="shared" si="31"/>
        <v>Seg2!</v>
      </c>
      <c r="D113">
        <f ca="1" t="shared" si="16"/>
        <v>162.29</v>
      </c>
      <c r="E113">
        <f t="shared" si="22"/>
        <v>163.1</v>
      </c>
      <c r="F113" t="str">
        <f ca="1" t="shared" si="17"/>
        <v> T R</v>
      </c>
      <c r="G113" t="str">
        <f ca="1" t="shared" si="18"/>
        <v>(unmarked) Rt 6</v>
      </c>
      <c r="H113" t="e">
        <f t="shared" si="19"/>
        <v>#VALUE!</v>
      </c>
      <c r="I113" t="str">
        <f t="shared" si="20"/>
        <v>(unmarked) Rt 6</v>
      </c>
      <c r="J113">
        <f t="shared" si="21"/>
      </c>
    </row>
    <row r="114" spans="1:10" ht="15">
      <c r="A114">
        <f ca="1" t="shared" si="29"/>
        <v>2</v>
      </c>
      <c r="B114">
        <f ca="1" t="shared" si="30"/>
        <v>81</v>
      </c>
      <c r="C114" t="str">
        <f t="shared" si="31"/>
        <v>Seg2!</v>
      </c>
      <c r="D114">
        <f ca="1" t="shared" si="16"/>
        <v>163.76999999999998</v>
      </c>
      <c r="E114">
        <f t="shared" si="22"/>
        <v>164.6</v>
      </c>
      <c r="F114" t="str">
        <f ca="1" t="shared" si="17"/>
        <v> B R</v>
      </c>
      <c r="G114" t="str">
        <f ca="1" t="shared" si="18"/>
        <v>(TFL at Rt 507) TRO Rt 6  (Lake Wallenpaupack)</v>
      </c>
      <c r="H114" t="e">
        <f t="shared" si="19"/>
        <v>#VALUE!</v>
      </c>
      <c r="I114" t="str">
        <f t="shared" si="20"/>
        <v>(TFL at Rt 507) TRO Rt 6  (Lake Wallenpaupack)</v>
      </c>
      <c r="J114">
        <f t="shared" si="21"/>
      </c>
    </row>
    <row r="115" spans="1:10" ht="15">
      <c r="A115">
        <f ca="1" t="shared" si="29"/>
        <v>2</v>
      </c>
      <c r="B115">
        <f ca="1" t="shared" si="30"/>
        <v>82</v>
      </c>
      <c r="C115" t="str">
        <f t="shared" si="31"/>
        <v>Seg2!</v>
      </c>
      <c r="D115">
        <f ca="1" t="shared" si="16"/>
        <v>165.12</v>
      </c>
      <c r="E115">
        <f t="shared" si="22"/>
        <v>165.9</v>
      </c>
      <c r="F115" t="str">
        <f ca="1" t="shared" si="17"/>
        <v> L</v>
      </c>
      <c r="G115" t="str">
        <f ca="1" t="shared" si="18"/>
        <v>(TFL) Rt 590 West / Purdytown{MiniMart FastFood Limited Services ahead}</v>
      </c>
      <c r="H115">
        <f t="shared" si="19"/>
        <v>30</v>
      </c>
      <c r="I115" t="str">
        <f t="shared" si="20"/>
        <v>(TFL) Rt 590 West / Purdytown</v>
      </c>
      <c r="J115" t="str">
        <f t="shared" si="21"/>
        <v>MiniMart FastFood Limited Services ahead</v>
      </c>
    </row>
    <row r="116" spans="1:10" ht="15">
      <c r="A116">
        <f ca="1" t="shared" si="29"/>
        <v>2</v>
      </c>
      <c r="B116">
        <f ca="1" t="shared" si="30"/>
        <v>83</v>
      </c>
      <c r="C116" t="str">
        <f t="shared" si="31"/>
        <v>Seg2!</v>
      </c>
      <c r="D116">
        <f ca="1" t="shared" si="16"/>
        <v>165.99</v>
      </c>
      <c r="E116">
        <f t="shared" si="22"/>
        <v>166.8</v>
      </c>
      <c r="F116" t="str">
        <f ca="1" t="shared" si="17"/>
        <v> R</v>
      </c>
      <c r="G116" t="str">
        <f ca="1" t="shared" si="18"/>
        <v>Owego Tpke / Rt 3028</v>
      </c>
      <c r="H116" t="e">
        <f t="shared" si="19"/>
        <v>#VALUE!</v>
      </c>
      <c r="I116" t="str">
        <f t="shared" si="20"/>
        <v>Owego Tpke / Rt 3028</v>
      </c>
      <c r="J116">
        <f t="shared" si="21"/>
      </c>
    </row>
    <row r="117" spans="1:10" ht="15">
      <c r="A117">
        <f ca="1" t="shared" si="29"/>
        <v>2</v>
      </c>
      <c r="B117">
        <f ca="1" t="shared" si="30"/>
        <v>84</v>
      </c>
      <c r="C117" t="str">
        <f t="shared" si="31"/>
        <v>Seg2!</v>
      </c>
      <c r="D117">
        <f ca="1" t="shared" si="16"/>
        <v>170.69</v>
      </c>
      <c r="E117">
        <f t="shared" si="22"/>
        <v>171.5</v>
      </c>
      <c r="F117" t="str">
        <f ca="1" t="shared" si="17"/>
        <v> L</v>
      </c>
      <c r="G117" t="str">
        <f ca="1" t="shared" si="18"/>
        <v>Rt 3042 / Shuman Rd</v>
      </c>
      <c r="H117" t="e">
        <f t="shared" si="19"/>
        <v>#VALUE!</v>
      </c>
      <c r="I117" t="str">
        <f t="shared" si="20"/>
        <v>Rt 3042 / Shuman Rd</v>
      </c>
      <c r="J117">
        <f t="shared" si="21"/>
      </c>
    </row>
    <row r="118" spans="1:10" ht="15">
      <c r="A118">
        <f ca="1" t="shared" si="29"/>
        <v>2</v>
      </c>
      <c r="B118">
        <f ca="1" t="shared" si="30"/>
        <v>85</v>
      </c>
      <c r="C118" t="str">
        <f t="shared" si="31"/>
        <v>Seg2!</v>
      </c>
      <c r="D118">
        <f ca="1" t="shared" si="16"/>
        <v>171.73000000000002</v>
      </c>
      <c r="E118">
        <f t="shared" si="22"/>
        <v>172.6</v>
      </c>
      <c r="F118" t="str">
        <f ca="1" t="shared" si="17"/>
        <v> L</v>
      </c>
      <c r="G118" t="str">
        <f ca="1" t="shared" si="18"/>
        <v>(SS) Rt 191/ Lake Ariel Hwy</v>
      </c>
      <c r="H118" t="e">
        <f t="shared" si="19"/>
        <v>#VALUE!</v>
      </c>
      <c r="I118" t="str">
        <f t="shared" si="20"/>
        <v>(SS) Rt 191/ Lake Ariel Hwy</v>
      </c>
      <c r="J118">
        <f t="shared" si="21"/>
      </c>
    </row>
    <row r="119" spans="1:10" ht="15">
      <c r="A119">
        <f ca="1" t="shared" si="29"/>
        <v>2</v>
      </c>
      <c r="B119">
        <f ca="1" t="shared" si="30"/>
        <v>86</v>
      </c>
      <c r="C119" t="str">
        <f t="shared" si="31"/>
        <v>Seg2!</v>
      </c>
      <c r="D119">
        <f ca="1" t="shared" si="16"/>
        <v>172.35000000000002</v>
      </c>
      <c r="E119">
        <f t="shared" si="22"/>
        <v>173.2</v>
      </c>
      <c r="F119" t="str">
        <f ca="1" t="shared" si="17"/>
        <v> ***R</v>
      </c>
      <c r="G119" t="str">
        <f ca="1" t="shared" si="18"/>
        <v>Middle Creek Rd / Rt 3024 (on slight downhill)</v>
      </c>
      <c r="H119" t="e">
        <f t="shared" si="19"/>
        <v>#VALUE!</v>
      </c>
      <c r="I119" t="str">
        <f t="shared" si="20"/>
        <v>Middle Creek Rd / Rt 3024 (on slight downhill)</v>
      </c>
      <c r="J119">
        <f t="shared" si="21"/>
      </c>
    </row>
    <row r="120" spans="1:10" ht="15">
      <c r="A120">
        <f ca="1" t="shared" si="29"/>
        <v>2</v>
      </c>
      <c r="B120">
        <f ca="1" t="shared" si="30"/>
        <v>87</v>
      </c>
      <c r="C120" t="str">
        <f t="shared" si="31"/>
        <v>Seg2!</v>
      </c>
      <c r="D120">
        <f ca="1" t="shared" si="16"/>
        <v>175.93</v>
      </c>
      <c r="E120">
        <f t="shared" si="22"/>
        <v>176.8</v>
      </c>
      <c r="F120" t="str">
        <f ca="1" t="shared" si="17"/>
        <v> Pass</v>
      </c>
      <c r="G120" t="str">
        <f ca="1" t="shared" si="18"/>
        <v>Old Gravity Rd on left (now on Tannery Rd / Rt 3024)</v>
      </c>
      <c r="H120" t="e">
        <f t="shared" si="19"/>
        <v>#VALUE!</v>
      </c>
      <c r="I120" t="str">
        <f t="shared" si="20"/>
        <v>Old Gravity Rd on left (now on Tannery Rd / Rt 3024)</v>
      </c>
      <c r="J120">
        <f t="shared" si="21"/>
      </c>
    </row>
    <row r="121" spans="1:10" ht="15">
      <c r="A121">
        <f ca="1" t="shared" si="29"/>
        <v>2</v>
      </c>
      <c r="B121">
        <f ca="1" t="shared" si="30"/>
        <v>88</v>
      </c>
      <c r="C121" t="str">
        <f t="shared" si="31"/>
        <v>Seg2!</v>
      </c>
      <c r="D121">
        <f ca="1" t="shared" si="16"/>
        <v>179.01</v>
      </c>
      <c r="E121">
        <f t="shared" si="22"/>
        <v>179.9</v>
      </c>
      <c r="F121" t="str">
        <f ca="1" t="shared" si="17"/>
        <v> T R</v>
      </c>
      <c r="G121" t="str">
        <f ca="1" t="shared" si="18"/>
        <v>(SS) Rt 296 / Gravity Rd</v>
      </c>
      <c r="H121" t="e">
        <f t="shared" si="19"/>
        <v>#VALUE!</v>
      </c>
      <c r="I121" t="str">
        <f t="shared" si="20"/>
        <v>(SS) Rt 296 / Gravity Rd</v>
      </c>
      <c r="J121">
        <f t="shared" si="21"/>
      </c>
    </row>
    <row r="122" spans="1:10" ht="15">
      <c r="A122">
        <f ca="1" t="shared" si="29"/>
        <v>2</v>
      </c>
      <c r="B122">
        <f ca="1" t="shared" si="30"/>
        <v>89</v>
      </c>
      <c r="C122" t="str">
        <f t="shared" si="31"/>
        <v>Seg2!</v>
      </c>
      <c r="D122">
        <f ca="1" t="shared" si="16"/>
        <v>179.36</v>
      </c>
      <c r="E122">
        <f t="shared" si="22"/>
        <v>180.2</v>
      </c>
      <c r="F122" t="str">
        <f ca="1" t="shared" si="17"/>
        <v> T R</v>
      </c>
      <c r="G122" t="str">
        <f ca="1" t="shared" si="18"/>
        <v>(SS) TRO Rt 296 North</v>
      </c>
      <c r="H122" t="e">
        <f t="shared" si="19"/>
        <v>#VALUE!</v>
      </c>
      <c r="I122" t="str">
        <f t="shared" si="20"/>
        <v>(SS) TRO Rt 296 North</v>
      </c>
      <c r="J122">
        <f t="shared" si="21"/>
      </c>
    </row>
    <row r="123" spans="1:10" ht="15">
      <c r="A123">
        <f ca="1" t="shared" si="29"/>
        <v>2</v>
      </c>
      <c r="B123">
        <f ca="1" t="shared" si="30"/>
        <v>90</v>
      </c>
      <c r="C123" t="str">
        <f t="shared" si="31"/>
        <v>Seg2!</v>
      </c>
      <c r="D123">
        <f ca="1" t="shared" si="16"/>
        <v>181.17000000000002</v>
      </c>
      <c r="E123">
        <f t="shared" si="22"/>
        <v>182.1</v>
      </c>
      <c r="F123" t="str">
        <f ca="1" t="shared" si="17"/>
        <v> L</v>
      </c>
      <c r="G123" t="str">
        <f ca="1" t="shared" si="18"/>
        <v>Cortez Rd (Saint Tikhons on right) ("Citgo" on left){MiniMart}</v>
      </c>
      <c r="H123">
        <f t="shared" si="19"/>
        <v>53</v>
      </c>
      <c r="I123" t="str">
        <f t="shared" si="20"/>
        <v>Cortez Rd (Saint Tikhons on right) ("Citgo" on left)</v>
      </c>
      <c r="J123" t="str">
        <f t="shared" si="21"/>
        <v>MiniMart</v>
      </c>
    </row>
    <row r="124" spans="1:10" ht="15">
      <c r="A124">
        <f ca="1" t="shared" si="29"/>
        <v>2</v>
      </c>
      <c r="B124">
        <f ca="1" t="shared" si="30"/>
        <v>91</v>
      </c>
      <c r="C124" t="str">
        <f t="shared" si="31"/>
        <v>Seg2!</v>
      </c>
      <c r="D124">
        <f ca="1" t="shared" si="16"/>
        <v>181.52999999999997</v>
      </c>
      <c r="E124">
        <f t="shared" si="22"/>
        <v>182.4</v>
      </c>
      <c r="F124" t="str">
        <f ca="1" t="shared" si="17"/>
        <v> 1st R</v>
      </c>
      <c r="G124" t="str">
        <f ca="1" t="shared" si="18"/>
        <v>Lake Quinn Rd / Rt 3020 (sign hidden)</v>
      </c>
      <c r="H124" t="e">
        <f t="shared" si="19"/>
        <v>#VALUE!</v>
      </c>
      <c r="I124" t="str">
        <f t="shared" si="20"/>
        <v>Lake Quinn Rd / Rt 3020 (sign hidden)</v>
      </c>
      <c r="J124">
        <f t="shared" si="21"/>
      </c>
    </row>
    <row r="125" spans="1:10" ht="15">
      <c r="A125">
        <f ca="1" t="shared" si="29"/>
        <v>2</v>
      </c>
      <c r="B125">
        <f ca="1" t="shared" si="30"/>
        <v>92</v>
      </c>
      <c r="C125" t="str">
        <f t="shared" si="31"/>
        <v>Seg2!</v>
      </c>
      <c r="D125">
        <f ca="1" t="shared" si="16"/>
        <v>183.16000000000003</v>
      </c>
      <c r="E125">
        <f t="shared" si="22"/>
        <v>184.1</v>
      </c>
      <c r="F125" t="str">
        <f ca="1" t="shared" si="17"/>
        <v> B L</v>
      </c>
      <c r="G125" t="str">
        <f ca="1" t="shared" si="18"/>
        <v>Rt 3022 / Jubinske / Salem Rd (Rt 3020 ends at bend) (b/c Rt 1019 ahead)</v>
      </c>
      <c r="H125" t="e">
        <f t="shared" si="19"/>
        <v>#VALUE!</v>
      </c>
      <c r="I125" t="str">
        <f t="shared" si="20"/>
        <v>Rt 3022 / Jubinske / Salem Rd (Rt 3020 ends at bend) (b/c Rt 1019 ahead)</v>
      </c>
      <c r="J125">
        <f t="shared" si="21"/>
      </c>
    </row>
    <row r="126" spans="1:10" ht="15">
      <c r="A126">
        <f ca="1" t="shared" si="29"/>
        <v>2</v>
      </c>
      <c r="B126">
        <f ca="1" t="shared" si="30"/>
        <v>93</v>
      </c>
      <c r="C126" t="str">
        <f t="shared" si="31"/>
        <v>Seg2!</v>
      </c>
      <c r="D126">
        <f ca="1" t="shared" si="16"/>
        <v>185.79000000000002</v>
      </c>
      <c r="E126">
        <f t="shared" si="22"/>
        <v>186.7</v>
      </c>
      <c r="F126" t="str">
        <f ca="1" t="shared" si="17"/>
        <v> Pass</v>
      </c>
      <c r="G126" t="str">
        <f ca="1" t="shared" si="18"/>
        <v>Highest point on route (El. 2164') Caution on steep twisty descent</v>
      </c>
      <c r="H126" t="e">
        <f t="shared" si="19"/>
        <v>#VALUE!</v>
      </c>
      <c r="I126" t="str">
        <f t="shared" si="20"/>
        <v>Highest point on route (El. 2164') Caution on steep twisty descent</v>
      </c>
      <c r="J126">
        <f t="shared" si="21"/>
      </c>
    </row>
    <row r="127" spans="1:10" ht="15">
      <c r="A127">
        <f ca="1" t="shared" si="29"/>
        <v>2</v>
      </c>
      <c r="B127">
        <f ca="1" t="shared" si="30"/>
        <v>94</v>
      </c>
      <c r="C127" t="str">
        <f t="shared" si="31"/>
        <v>Seg2!</v>
      </c>
      <c r="D127">
        <f ca="1" t="shared" si="16"/>
        <v>187.96999999999997</v>
      </c>
      <c r="E127">
        <f t="shared" si="22"/>
        <v>188.9</v>
      </c>
      <c r="F127" t="str">
        <f ca="1" t="shared" si="17"/>
        <v> Pass</v>
      </c>
      <c r="G127" t="str">
        <f ca="1" t="shared" si="18"/>
        <v>Carbondale city limit (now on Wayne St) Steep descent ahead</v>
      </c>
      <c r="H127" t="e">
        <f t="shared" si="19"/>
        <v>#VALUE!</v>
      </c>
      <c r="I127" t="str">
        <f t="shared" si="20"/>
        <v>Carbondale city limit (now on Wayne St) Steep descent ahead</v>
      </c>
      <c r="J127">
        <f t="shared" si="21"/>
      </c>
    </row>
    <row r="128" spans="1:10" ht="15">
      <c r="A128">
        <f ca="1" t="shared" si="29"/>
        <v>2</v>
      </c>
      <c r="B128">
        <f ca="1" t="shared" si="30"/>
        <v>95</v>
      </c>
      <c r="C128" t="str">
        <f t="shared" si="31"/>
        <v>Seg2!</v>
      </c>
      <c r="D128">
        <f ca="1" t="shared" si="16"/>
        <v>188.76</v>
      </c>
      <c r="E128">
        <f t="shared" si="22"/>
        <v>189.7</v>
      </c>
      <c r="F128" t="str">
        <f ca="1" t="shared" si="17"/>
        <v> L</v>
      </c>
      <c r="G128" t="str">
        <f ca="1" t="shared" si="18"/>
        <v>7th Ave</v>
      </c>
      <c r="H128" t="e">
        <f t="shared" si="19"/>
        <v>#VALUE!</v>
      </c>
      <c r="I128" t="str">
        <f t="shared" si="20"/>
        <v>7th Ave</v>
      </c>
      <c r="J128">
        <f t="shared" si="21"/>
      </c>
    </row>
    <row r="129" spans="1:10" ht="15">
      <c r="A129">
        <f ca="1" t="shared" si="29"/>
        <v>2</v>
      </c>
      <c r="B129">
        <f ca="1" t="shared" si="30"/>
        <v>96</v>
      </c>
      <c r="C129" t="str">
        <f t="shared" si="31"/>
        <v>Seg2!</v>
      </c>
      <c r="D129">
        <f ca="1" t="shared" si="16"/>
        <v>189.13</v>
      </c>
      <c r="E129">
        <f t="shared" si="22"/>
        <v>190.1</v>
      </c>
      <c r="F129" t="str">
        <f ca="1" t="shared" si="17"/>
        <v> STOP</v>
      </c>
      <c r="G129" t="str">
        <f ca="1" t="shared" si="18"/>
        <v>Controle Dunkin' Donuts (TFL) at 7th Ave / Main St junction</v>
      </c>
      <c r="H129" t="e">
        <f t="shared" si="19"/>
        <v>#VALUE!</v>
      </c>
      <c r="I129" t="str">
        <f t="shared" si="20"/>
        <v>Controle Dunkin' Donuts (TFL) at 7th Ave / Main St junction</v>
      </c>
      <c r="J129">
        <f t="shared" si="21"/>
      </c>
    </row>
    <row r="130" spans="1:10" ht="15">
      <c r="A130">
        <f ca="1" t="shared" si="29"/>
        <v>2</v>
      </c>
      <c r="B130">
        <f ca="1" t="shared" si="30"/>
        <v>97</v>
      </c>
      <c r="C130" t="str">
        <f t="shared" si="31"/>
        <v>Seg2!</v>
      </c>
      <c r="D130">
        <f ca="1" t="shared" si="16"/>
        <v>189.14999999999998</v>
      </c>
      <c r="E130">
        <f t="shared" si="22"/>
        <v>190.1</v>
      </c>
      <c r="F130" t="str">
        <f ca="1" t="shared" si="17"/>
        <v> Continue</v>
      </c>
      <c r="G130" t="str">
        <f ca="1" t="shared" si="18"/>
        <v>Leave controle turning right out of 7th Ave exit (continuing same direction)</v>
      </c>
      <c r="H130" t="e">
        <f t="shared" si="19"/>
        <v>#VALUE!</v>
      </c>
      <c r="I130" t="str">
        <f t="shared" si="20"/>
        <v>Leave controle turning right out of 7th Ave exit (continuing same direction)</v>
      </c>
      <c r="J130">
        <f t="shared" si="21"/>
      </c>
    </row>
    <row r="131" spans="1:10" ht="15">
      <c r="A131">
        <f ca="1" t="shared" si="29"/>
        <v>2</v>
      </c>
      <c r="B131">
        <f ca="1" t="shared" si="30"/>
        <v>98</v>
      </c>
      <c r="C131" t="str">
        <f t="shared" si="31"/>
        <v>Seg2!</v>
      </c>
      <c r="D131">
        <f ca="1" t="shared" si="32" ref="D131:D194">INDIRECT($C131&amp;"L"&amp;$B131)</f>
        <v>189.19</v>
      </c>
      <c r="E131">
        <f t="shared" si="22"/>
        <v>190.1</v>
      </c>
      <c r="F131" t="str">
        <f ca="1" t="shared" si="33" ref="F131:F194">INDIRECT($C131&amp;"M"&amp;$B131)</f>
        <v> 1st R</v>
      </c>
      <c r="G131" t="str">
        <f ca="1" t="shared" si="34" ref="G131:G194">INDIRECT($C131&amp;"A"&amp;$B131)</f>
        <v>(SS) River St </v>
      </c>
      <c r="H131" t="e">
        <f aca="true" t="shared" si="35" ref="H131:H194">FIND("{",G131)</f>
        <v>#VALUE!</v>
      </c>
      <c r="I131" t="str">
        <f aca="true" t="shared" si="36" ref="I131:I194">IF(ISNUMBER(H131),LEFT(G131,H131-1),G131)</f>
        <v>(SS) River St </v>
      </c>
      <c r="J131">
        <f aca="true" t="shared" si="37" ref="J131:J194">IF(ISNUMBER(H131),MID(G131,H131+1,LEN(G131)-H131-1),"")</f>
      </c>
    </row>
    <row r="132" spans="1:10" ht="15">
      <c r="A132">
        <f ca="1" t="shared" si="29"/>
        <v>2</v>
      </c>
      <c r="B132">
        <f ca="1" t="shared" si="30"/>
        <v>99</v>
      </c>
      <c r="C132" t="str">
        <f t="shared" si="31"/>
        <v>Seg2!</v>
      </c>
      <c r="D132">
        <f ca="1" t="shared" si="32"/>
        <v>189.44</v>
      </c>
      <c r="E132">
        <f aca="true" t="shared" si="38" ref="E132:E195">TRUNC(D132*$J$1,1)</f>
        <v>190.4</v>
      </c>
      <c r="F132" t="str">
        <f ca="1" t="shared" si="33"/>
        <v> Straight</v>
      </c>
      <c r="G132" t="str">
        <f ca="1" t="shared" si="34"/>
        <v>(SS) Joining Rt 106 Caution: fast traffic on right does not stop </v>
      </c>
      <c r="H132" t="e">
        <f t="shared" si="35"/>
        <v>#VALUE!</v>
      </c>
      <c r="I132" t="str">
        <f t="shared" si="36"/>
        <v>(SS) Joining Rt 106 Caution: fast traffic on right does not stop </v>
      </c>
      <c r="J132">
        <f t="shared" si="37"/>
      </c>
    </row>
    <row r="133" spans="1:10" ht="15">
      <c r="A133">
        <f ca="1" t="shared" si="29"/>
        <v>2</v>
      </c>
      <c r="B133">
        <f ca="1" t="shared" si="30"/>
        <v>100</v>
      </c>
      <c r="C133" t="str">
        <f t="shared" si="31"/>
        <v>Seg2!</v>
      </c>
      <c r="D133">
        <f ca="1" t="shared" si="32"/>
        <v>189.69</v>
      </c>
      <c r="E133">
        <f t="shared" si="38"/>
        <v>190.6</v>
      </c>
      <c r="F133" t="str">
        <f ca="1" t="shared" si="33"/>
        <v> R</v>
      </c>
      <c r="G133" t="str">
        <f ca="1" t="shared" si="34"/>
        <v>Dundaff St / Rt 1007 (just after RR tracks)</v>
      </c>
      <c r="H133" t="e">
        <f t="shared" si="35"/>
        <v>#VALUE!</v>
      </c>
      <c r="I133" t="str">
        <f t="shared" si="36"/>
        <v>Dundaff St / Rt 1007 (just after RR tracks)</v>
      </c>
      <c r="J133">
        <f t="shared" si="37"/>
      </c>
    </row>
    <row r="134" spans="1:10" ht="15">
      <c r="A134">
        <f ca="1" t="shared" si="29"/>
        <v>2</v>
      </c>
      <c r="B134">
        <f ca="1" t="shared" si="30"/>
        <v>101</v>
      </c>
      <c r="C134" t="str">
        <f t="shared" si="31"/>
        <v>Seg2!</v>
      </c>
      <c r="D134">
        <f ca="1" t="shared" si="32"/>
        <v>192.58999999999997</v>
      </c>
      <c r="E134">
        <f t="shared" si="38"/>
        <v>193.5</v>
      </c>
      <c r="F134" t="str">
        <f ca="1" t="shared" si="33"/>
        <v> B L</v>
      </c>
      <c r="G134" t="str">
        <f ca="1" t="shared" si="34"/>
        <v>TRO Rt 1007 / Dundaff St (at Rt 1011)</v>
      </c>
      <c r="H134" t="e">
        <f t="shared" si="35"/>
        <v>#VALUE!</v>
      </c>
      <c r="I134" t="str">
        <f t="shared" si="36"/>
        <v>TRO Rt 1007 / Dundaff St (at Rt 1011)</v>
      </c>
      <c r="J134">
        <f t="shared" si="37"/>
      </c>
    </row>
    <row r="135" spans="1:10" ht="15">
      <c r="A135">
        <f ca="1" t="shared" si="29"/>
        <v>2</v>
      </c>
      <c r="B135">
        <f ca="1" t="shared" si="30"/>
        <v>102</v>
      </c>
      <c r="C135" t="str">
        <f t="shared" si="31"/>
        <v>Seg2!</v>
      </c>
      <c r="D135">
        <f ca="1" t="shared" si="32"/>
        <v>194.51999999999998</v>
      </c>
      <c r="E135">
        <f t="shared" si="38"/>
        <v>195.5</v>
      </c>
      <c r="F135" t="str">
        <f ca="1" t="shared" si="33"/>
        <v> Straight</v>
      </c>
      <c r="G135" t="str">
        <f ca="1" t="shared" si="34"/>
        <v>Joining Rt 247 South</v>
      </c>
      <c r="H135" t="e">
        <f t="shared" si="35"/>
        <v>#VALUE!</v>
      </c>
      <c r="I135" t="str">
        <f t="shared" si="36"/>
        <v>Joining Rt 247 South</v>
      </c>
      <c r="J135">
        <f t="shared" si="37"/>
      </c>
    </row>
    <row r="136" spans="1:10" ht="15">
      <c r="A136">
        <f ca="1" t="shared" si="29"/>
        <v>2</v>
      </c>
      <c r="B136">
        <f ca="1" t="shared" si="30"/>
        <v>103</v>
      </c>
      <c r="C136" t="str">
        <f t="shared" si="31"/>
        <v>Seg2!</v>
      </c>
      <c r="D136">
        <f ca="1" t="shared" si="32"/>
        <v>195.91000000000003</v>
      </c>
      <c r="E136">
        <f t="shared" si="38"/>
        <v>196.9</v>
      </c>
      <c r="F136" t="str">
        <f ca="1" t="shared" si="33"/>
        <v> Straight</v>
      </c>
      <c r="G136" t="str">
        <f ca="1" t="shared" si="34"/>
        <v>(TFL) Joining Rt 2014 [Dundaff]{Store}</v>
      </c>
      <c r="H136">
        <f t="shared" si="35"/>
        <v>32</v>
      </c>
      <c r="I136" t="str">
        <f t="shared" si="36"/>
        <v>(TFL) Joining Rt 2014 [Dundaff]</v>
      </c>
      <c r="J136" t="str">
        <f t="shared" si="37"/>
        <v>Store</v>
      </c>
    </row>
    <row r="137" spans="1:10" ht="15">
      <c r="A137">
        <f ca="1" t="shared" si="29"/>
        <v>2</v>
      </c>
      <c r="B137">
        <f ca="1" t="shared" si="30"/>
        <v>104</v>
      </c>
      <c r="C137" t="str">
        <f t="shared" si="31"/>
        <v>Seg2!</v>
      </c>
      <c r="D137">
        <f ca="1" t="shared" si="32"/>
        <v>197.7</v>
      </c>
      <c r="E137">
        <f t="shared" si="38"/>
        <v>198.7</v>
      </c>
      <c r="F137" t="str">
        <f ca="1" t="shared" si="33"/>
        <v> X</v>
      </c>
      <c r="G137" t="str">
        <f ca="1" t="shared" si="34"/>
        <v>Rt 2012 CAUTION several steep twisty ROUGH descents ahead</v>
      </c>
      <c r="H137" t="e">
        <f t="shared" si="35"/>
        <v>#VALUE!</v>
      </c>
      <c r="I137" t="str">
        <f t="shared" si="36"/>
        <v>Rt 2012 CAUTION several steep twisty ROUGH descents ahead</v>
      </c>
      <c r="J137">
        <f t="shared" si="37"/>
      </c>
    </row>
    <row r="138" spans="1:10" ht="15">
      <c r="A138">
        <f ca="1" t="shared" si="29"/>
        <v>2</v>
      </c>
      <c r="B138">
        <f ca="1" t="shared" si="30"/>
        <v>105</v>
      </c>
      <c r="C138" t="str">
        <f t="shared" si="31"/>
        <v>Seg2!</v>
      </c>
      <c r="D138">
        <f ca="1" t="shared" si="32"/>
        <v>200.18</v>
      </c>
      <c r="E138">
        <f t="shared" si="38"/>
        <v>201.2</v>
      </c>
      <c r="F138" t="str">
        <f ca="1" t="shared" si="33"/>
        <v> T R</v>
      </c>
      <c r="G138" t="str">
        <f ca="1" t="shared" si="34"/>
        <v>(SS) Rt 106 CAUTION: Watch for BIG POTHOLES ahead {MiniMart}</v>
      </c>
      <c r="H138">
        <f t="shared" si="35"/>
        <v>51</v>
      </c>
      <c r="I138" t="str">
        <f t="shared" si="36"/>
        <v>(SS) Rt 106 CAUTION: Watch for BIG POTHOLES ahead </v>
      </c>
      <c r="J138" t="str">
        <f t="shared" si="37"/>
        <v>MiniMart</v>
      </c>
    </row>
    <row r="139" spans="1:10" ht="15">
      <c r="A139">
        <f ca="1" t="shared" si="29"/>
        <v>2</v>
      </c>
      <c r="B139">
        <f ca="1" t="shared" si="30"/>
        <v>106</v>
      </c>
      <c r="C139" t="str">
        <f t="shared" si="31"/>
        <v>Seg2!</v>
      </c>
      <c r="D139">
        <f ca="1" t="shared" si="32"/>
        <v>203.91000000000003</v>
      </c>
      <c r="E139">
        <f t="shared" si="38"/>
        <v>204.9</v>
      </c>
      <c r="F139" t="str">
        <f ca="1" t="shared" si="33"/>
        <v> X</v>
      </c>
      <c r="G139" t="str">
        <f ca="1" t="shared" si="34"/>
        <v>Rt 81 TRO Rt 106</v>
      </c>
      <c r="H139" t="e">
        <f t="shared" si="35"/>
        <v>#VALUE!</v>
      </c>
      <c r="I139" t="str">
        <f t="shared" si="36"/>
        <v>Rt 81 TRO Rt 106</v>
      </c>
      <c r="J139">
        <f t="shared" si="37"/>
      </c>
    </row>
    <row r="140" spans="1:10" ht="15">
      <c r="A140">
        <f ca="1" t="shared" si="29"/>
        <v>2</v>
      </c>
      <c r="B140">
        <f ca="1" t="shared" si="30"/>
        <v>107</v>
      </c>
      <c r="C140" t="str">
        <f t="shared" si="31"/>
        <v>Seg2!</v>
      </c>
      <c r="D140">
        <f ca="1" t="shared" si="32"/>
        <v>204.10000000000002</v>
      </c>
      <c r="E140">
        <f t="shared" si="38"/>
        <v>205.1</v>
      </c>
      <c r="F140" t="str">
        <f ca="1" t="shared" si="33"/>
        <v> R</v>
      </c>
      <c r="G140" t="str">
        <f ca="1" t="shared" si="34"/>
        <v>(TFL) Rt 92 HEADS UP: Next turn follows immediately</v>
      </c>
      <c r="H140" t="e">
        <f t="shared" si="35"/>
        <v>#VALUE!</v>
      </c>
      <c r="I140" t="str">
        <f t="shared" si="36"/>
        <v>(TFL) Rt 92 HEADS UP: Next turn follows immediately</v>
      </c>
      <c r="J140">
        <f t="shared" si="37"/>
      </c>
    </row>
    <row r="141" spans="1:10" ht="15">
      <c r="A141">
        <f ca="1" t="shared" si="29"/>
        <v>2</v>
      </c>
      <c r="B141">
        <f ca="1" t="shared" si="30"/>
        <v>108</v>
      </c>
      <c r="C141" t="str">
        <f t="shared" si="31"/>
        <v>Seg2!</v>
      </c>
      <c r="D141">
        <f ca="1" t="shared" si="32"/>
        <v>204.14</v>
      </c>
      <c r="E141">
        <f t="shared" si="38"/>
        <v>205.2</v>
      </c>
      <c r="F141" t="str">
        <f ca="1" t="shared" si="33"/>
        <v> ***Q L</v>
      </c>
      <c r="G141" t="str">
        <f ca="1" t="shared" si="34"/>
        <v>Rt 2063 / Creek Rd (look for Hartford 5 sign) {MiniMart Restaurant}</v>
      </c>
      <c r="H141">
        <f t="shared" si="35"/>
        <v>47</v>
      </c>
      <c r="I141" t="str">
        <f t="shared" si="36"/>
        <v>Rt 2063 / Creek Rd (look for Hartford 5 sign) </v>
      </c>
      <c r="J141" t="str">
        <f t="shared" si="37"/>
        <v>MiniMart Restaurant</v>
      </c>
    </row>
    <row r="142" spans="1:10" ht="15">
      <c r="A142">
        <f ca="1" t="shared" si="29"/>
        <v>2</v>
      </c>
      <c r="B142">
        <f ca="1" t="shared" si="30"/>
        <v>109</v>
      </c>
      <c r="C142" t="str">
        <f t="shared" si="31"/>
        <v>Seg2!</v>
      </c>
      <c r="D142">
        <f ca="1" t="shared" si="32"/>
        <v>209.24</v>
      </c>
      <c r="E142">
        <f t="shared" si="38"/>
        <v>210.3</v>
      </c>
      <c r="F142" t="str">
        <f ca="1" t="shared" si="33"/>
        <v> B R</v>
      </c>
      <c r="G142" t="str">
        <f ca="1" t="shared" si="34"/>
        <v>Joining Rt 547 North [Hartford]</v>
      </c>
      <c r="H142" t="e">
        <f t="shared" si="35"/>
        <v>#VALUE!</v>
      </c>
      <c r="I142" t="str">
        <f t="shared" si="36"/>
        <v>Joining Rt 547 North [Hartford]</v>
      </c>
      <c r="J142">
        <f t="shared" si="37"/>
      </c>
    </row>
    <row r="143" spans="1:10" ht="15">
      <c r="A143">
        <f ca="1" t="shared" si="29"/>
        <v>2</v>
      </c>
      <c r="B143">
        <f ca="1" t="shared" si="30"/>
        <v>110</v>
      </c>
      <c r="C143" t="str">
        <f t="shared" si="31"/>
        <v>Seg2!</v>
      </c>
      <c r="D143">
        <f ca="1" t="shared" si="32"/>
        <v>209.49</v>
      </c>
      <c r="E143">
        <f t="shared" si="38"/>
        <v>210.5</v>
      </c>
      <c r="F143" t="str">
        <f ca="1" t="shared" si="33"/>
        <v> Straight</v>
      </c>
      <c r="G143" t="str">
        <f ca="1" t="shared" si="34"/>
        <v>Rt 2063 / Fair Hill Rd (leaving Rt 547 which goes right)</v>
      </c>
      <c r="H143" t="e">
        <f t="shared" si="35"/>
        <v>#VALUE!</v>
      </c>
      <c r="I143" t="str">
        <f t="shared" si="36"/>
        <v>Rt 2063 / Fair Hill Rd (leaving Rt 547 which goes right)</v>
      </c>
      <c r="J143">
        <f t="shared" si="37"/>
      </c>
    </row>
    <row r="144" spans="1:10" ht="15">
      <c r="A144">
        <f ca="1" t="shared" si="29"/>
        <v>2</v>
      </c>
      <c r="B144">
        <f ca="1" t="shared" si="30"/>
        <v>111</v>
      </c>
      <c r="C144" t="str">
        <f t="shared" si="31"/>
        <v>Seg2!</v>
      </c>
      <c r="D144">
        <f ca="1" t="shared" si="32"/>
        <v>213.92000000000002</v>
      </c>
      <c r="E144">
        <f t="shared" si="38"/>
        <v>215</v>
      </c>
      <c r="F144" t="str">
        <f ca="1" t="shared" si="33"/>
        <v> Straight</v>
      </c>
      <c r="G144" t="str">
        <f ca="1" t="shared" si="34"/>
        <v>(SS) Joining Rt 848 West</v>
      </c>
      <c r="H144" t="e">
        <f t="shared" si="35"/>
        <v>#VALUE!</v>
      </c>
      <c r="I144" t="str">
        <f t="shared" si="36"/>
        <v>(SS) Joining Rt 848 West</v>
      </c>
      <c r="J144">
        <f t="shared" si="37"/>
      </c>
    </row>
    <row r="145" spans="1:10" ht="15">
      <c r="A145">
        <f ca="1" t="shared" si="29"/>
        <v>2</v>
      </c>
      <c r="B145">
        <f ca="1" t="shared" si="30"/>
        <v>112</v>
      </c>
      <c r="C145" t="str">
        <f t="shared" si="31"/>
        <v>Seg2!</v>
      </c>
      <c r="D145">
        <f ca="1" t="shared" si="32"/>
        <v>216.16000000000003</v>
      </c>
      <c r="E145">
        <f t="shared" si="38"/>
        <v>217.2</v>
      </c>
      <c r="F145" t="str">
        <f ca="1" t="shared" si="33"/>
        <v> T R</v>
      </c>
      <c r="G145" t="str">
        <f ca="1" t="shared" si="34"/>
        <v>(SS) Rt 11 [New Milford] {MiniMart}</v>
      </c>
      <c r="H145">
        <f t="shared" si="35"/>
        <v>26</v>
      </c>
      <c r="I145" t="str">
        <f t="shared" si="36"/>
        <v>(SS) Rt 11 [New Milford] </v>
      </c>
      <c r="J145" t="str">
        <f t="shared" si="37"/>
        <v>MiniMart</v>
      </c>
    </row>
    <row r="146" spans="1:10" ht="15">
      <c r="A146">
        <f aca="true" ca="1" t="shared" si="39" ref="A146:A209">IF(INDIRECT($C145&amp;"A"&amp;$B145+1)&lt;&gt;"",A145,A145+1)</f>
        <v>2</v>
      </c>
      <c r="B146">
        <f aca="true" ca="1" t="shared" si="40" ref="B146:B209">IF(INDIRECT($C145&amp;"A"&amp;$B145+1)&lt;&gt;"",B145+1,3)</f>
        <v>113</v>
      </c>
      <c r="C146" t="str">
        <f aca="true" t="shared" si="41" ref="C146:C209">"Seg"&amp;A146&amp;"!"</f>
        <v>Seg2!</v>
      </c>
      <c r="D146">
        <f ca="1" t="shared" si="32"/>
        <v>217.07999999999998</v>
      </c>
      <c r="E146">
        <f t="shared" si="38"/>
        <v>218.2</v>
      </c>
      <c r="F146" t="str">
        <f ca="1" t="shared" si="33"/>
        <v> Pass</v>
      </c>
      <c r="G146" t="str">
        <f ca="1" t="shared" si="34"/>
        <v>New Milford city limit (road becomes 3-lane hwy)</v>
      </c>
      <c r="H146" t="e">
        <f t="shared" si="35"/>
        <v>#VALUE!</v>
      </c>
      <c r="I146" t="str">
        <f t="shared" si="36"/>
        <v>New Milford city limit (road becomes 3-lane hwy)</v>
      </c>
      <c r="J146">
        <f t="shared" si="37"/>
      </c>
    </row>
    <row r="147" spans="1:10" ht="15">
      <c r="A147">
        <f ca="1" t="shared" si="39"/>
        <v>2</v>
      </c>
      <c r="B147">
        <f ca="1" t="shared" si="40"/>
        <v>114</v>
      </c>
      <c r="C147" t="str">
        <f t="shared" si="41"/>
        <v>Seg2!</v>
      </c>
      <c r="D147">
        <f ca="1" t="shared" si="32"/>
        <v>217.89</v>
      </c>
      <c r="E147">
        <f t="shared" si="38"/>
        <v>219</v>
      </c>
      <c r="F147" t="str">
        <f ca="1" t="shared" si="33"/>
        <v> ***1st L</v>
      </c>
      <c r="G147" t="str">
        <f ca="1" t="shared" si="34"/>
        <v>Rt 1018 / Old Rt 11 (Look for "To 81" sign on right)</v>
      </c>
      <c r="H147" t="e">
        <f t="shared" si="35"/>
        <v>#VALUE!</v>
      </c>
      <c r="I147" t="str">
        <f t="shared" si="36"/>
        <v>Rt 1018 / Old Rt 11 (Look for "To 81" sign on right)</v>
      </c>
      <c r="J147">
        <f t="shared" si="37"/>
      </c>
    </row>
    <row r="148" spans="1:10" ht="15">
      <c r="A148">
        <f ca="1" t="shared" si="39"/>
        <v>2</v>
      </c>
      <c r="B148">
        <f ca="1" t="shared" si="40"/>
        <v>115</v>
      </c>
      <c r="C148" t="str">
        <f t="shared" si="41"/>
        <v>Seg2!</v>
      </c>
      <c r="D148">
        <f ca="1" t="shared" si="32"/>
        <v>221.93</v>
      </c>
      <c r="E148">
        <f t="shared" si="38"/>
        <v>223</v>
      </c>
      <c r="F148" t="str">
        <f ca="1" t="shared" si="33"/>
        <v> B L</v>
      </c>
      <c r="G148" t="str">
        <f ca="1" t="shared" si="34"/>
        <v>(SS) Joining Main St / Rt 11 [Hallstead]</v>
      </c>
      <c r="H148" t="e">
        <f t="shared" si="35"/>
        <v>#VALUE!</v>
      </c>
      <c r="I148" t="str">
        <f t="shared" si="36"/>
        <v>(SS) Joining Main St / Rt 11 [Hallstead]</v>
      </c>
      <c r="J148">
        <f t="shared" si="37"/>
      </c>
    </row>
    <row r="149" spans="1:10" ht="15">
      <c r="A149">
        <f ca="1" t="shared" si="39"/>
        <v>2</v>
      </c>
      <c r="B149">
        <f ca="1" t="shared" si="40"/>
        <v>116</v>
      </c>
      <c r="C149" t="str">
        <f t="shared" si="41"/>
        <v>Seg2!</v>
      </c>
      <c r="D149">
        <f ca="1" t="shared" si="32"/>
        <v>222.67000000000002</v>
      </c>
      <c r="E149">
        <f t="shared" si="38"/>
        <v>223.8</v>
      </c>
      <c r="F149" t="str">
        <f ca="1" t="shared" si="33"/>
        <v> X</v>
      </c>
      <c r="G149" t="str">
        <f ca="1" t="shared" si="34"/>
        <v>Susquehanna River bridge TRO Rt 11 [Hallstead]</v>
      </c>
      <c r="H149" t="e">
        <f t="shared" si="35"/>
        <v>#VALUE!</v>
      </c>
      <c r="I149" t="str">
        <f t="shared" si="36"/>
        <v>Susquehanna River bridge TRO Rt 11 [Hallstead]</v>
      </c>
      <c r="J149">
        <f t="shared" si="37"/>
      </c>
    </row>
    <row r="150" spans="1:10" ht="15">
      <c r="A150">
        <f ca="1" t="shared" si="39"/>
        <v>2</v>
      </c>
      <c r="B150">
        <f ca="1" t="shared" si="40"/>
        <v>117</v>
      </c>
      <c r="C150" t="str">
        <f t="shared" si="41"/>
        <v>Seg2!</v>
      </c>
      <c r="D150">
        <f ca="1" t="shared" si="32"/>
        <v>222.94</v>
      </c>
      <c r="E150">
        <f t="shared" si="38"/>
        <v>224.1</v>
      </c>
      <c r="F150" t="str">
        <f ca="1" t="shared" si="33"/>
        <v> STOP</v>
      </c>
      <c r="G150" t="str">
        <f ca="1" t="shared" si="34"/>
        <v>Controle Colonial Brick Inn on left at TFL near I-81 junction (Exxon on right) {Stores Restaurants}</v>
      </c>
      <c r="H150">
        <f t="shared" si="35"/>
        <v>80</v>
      </c>
      <c r="I150" t="str">
        <f t="shared" si="36"/>
        <v>Controle Colonial Brick Inn on left at TFL near I-81 junction (Exxon on right) </v>
      </c>
      <c r="J150" t="str">
        <f t="shared" si="37"/>
        <v>Stores Restaurants</v>
      </c>
    </row>
    <row r="151" spans="1:10" ht="15">
      <c r="A151">
        <f ca="1" t="shared" si="39"/>
        <v>3</v>
      </c>
      <c r="B151">
        <f ca="1" t="shared" si="40"/>
        <v>3</v>
      </c>
      <c r="C151" t="str">
        <f t="shared" si="41"/>
        <v>Seg3!</v>
      </c>
      <c r="D151">
        <f ca="1" t="shared" si="32"/>
        <v>222.96</v>
      </c>
      <c r="E151">
        <f t="shared" si="38"/>
        <v>224.1</v>
      </c>
      <c r="F151" t="str">
        <f ca="1" t="shared" si="33"/>
        <v> Backtrack</v>
      </c>
      <c r="G151" t="str">
        <f ca="1" t="shared" si="34"/>
        <v>Leave controle turning right on Rt 11 South at TFL {Next controle is untimed info question}</v>
      </c>
      <c r="H151">
        <f t="shared" si="35"/>
        <v>52</v>
      </c>
      <c r="I151" t="str">
        <f t="shared" si="36"/>
        <v>Leave controle turning right on Rt 11 South at TFL </v>
      </c>
      <c r="J151" t="str">
        <f t="shared" si="37"/>
        <v>Next controle is untimed info question</v>
      </c>
    </row>
    <row r="152" spans="1:10" ht="15">
      <c r="A152">
        <f ca="1" t="shared" si="39"/>
        <v>3</v>
      </c>
      <c r="B152">
        <f ca="1" t="shared" si="40"/>
        <v>4</v>
      </c>
      <c r="C152" t="str">
        <f t="shared" si="41"/>
        <v>Seg3!</v>
      </c>
      <c r="D152">
        <f ca="1" t="shared" si="32"/>
        <v>223.2</v>
      </c>
      <c r="E152">
        <f t="shared" si="38"/>
        <v>224.3</v>
      </c>
      <c r="F152" t="str">
        <f ca="1" t="shared" si="33"/>
        <v> X</v>
      </c>
      <c r="G152" t="str">
        <f ca="1" t="shared" si="34"/>
        <v>Susquehanna River bridge TRO Rt 11</v>
      </c>
      <c r="H152" t="e">
        <f t="shared" si="35"/>
        <v>#VALUE!</v>
      </c>
      <c r="I152" t="str">
        <f t="shared" si="36"/>
        <v>Susquehanna River bridge TRO Rt 11</v>
      </c>
      <c r="J152">
        <f t="shared" si="37"/>
      </c>
    </row>
    <row r="153" spans="1:10" ht="15">
      <c r="A153">
        <f ca="1" t="shared" si="39"/>
        <v>3</v>
      </c>
      <c r="B153">
        <f ca="1" t="shared" si="40"/>
        <v>5</v>
      </c>
      <c r="C153" t="str">
        <f t="shared" si="41"/>
        <v>Seg3!</v>
      </c>
      <c r="D153">
        <f ca="1" t="shared" si="32"/>
        <v>223.3</v>
      </c>
      <c r="E153">
        <f t="shared" si="38"/>
        <v>224.4</v>
      </c>
      <c r="F153" t="str">
        <f ca="1" t="shared" si="33"/>
        <v> 1st R</v>
      </c>
      <c r="G153" t="str">
        <f ca="1" t="shared" si="34"/>
        <v>Susquehanna Ave (b/c Pine St)</v>
      </c>
      <c r="H153" t="e">
        <f t="shared" si="35"/>
        <v>#VALUE!</v>
      </c>
      <c r="I153" t="str">
        <f t="shared" si="36"/>
        <v>Susquehanna Ave (b/c Pine St)</v>
      </c>
      <c r="J153">
        <f t="shared" si="37"/>
      </c>
    </row>
    <row r="154" spans="1:10" ht="15">
      <c r="A154">
        <f ca="1" t="shared" si="39"/>
        <v>3</v>
      </c>
      <c r="B154">
        <f ca="1" t="shared" si="40"/>
        <v>6</v>
      </c>
      <c r="C154" t="str">
        <f t="shared" si="41"/>
        <v>Seg3!</v>
      </c>
      <c r="D154">
        <f ca="1" t="shared" si="32"/>
        <v>223.44</v>
      </c>
      <c r="E154">
        <f t="shared" si="38"/>
        <v>224.6</v>
      </c>
      <c r="F154" t="str">
        <f ca="1" t="shared" si="33"/>
        <v> 1st R</v>
      </c>
      <c r="G154" t="str">
        <f ca="1" t="shared" si="34"/>
        <v>Church St..Just after sharp left bend..b/c New York Ave / Rt 1033</v>
      </c>
      <c r="H154" t="e">
        <f t="shared" si="35"/>
        <v>#VALUE!</v>
      </c>
      <c r="I154" t="str">
        <f t="shared" si="36"/>
        <v>Church St..Just after sharp left bend..b/c New York Ave / Rt 1033</v>
      </c>
      <c r="J154">
        <f t="shared" si="37"/>
      </c>
    </row>
    <row r="155" spans="1:10" ht="15">
      <c r="A155">
        <f ca="1" t="shared" si="39"/>
        <v>3</v>
      </c>
      <c r="B155">
        <f ca="1" t="shared" si="40"/>
        <v>7</v>
      </c>
      <c r="C155" t="str">
        <f t="shared" si="41"/>
        <v>Seg3!</v>
      </c>
      <c r="D155">
        <f ca="1" t="shared" si="32"/>
        <v>226.10999999999999</v>
      </c>
      <c r="E155">
        <f t="shared" si="38"/>
        <v>227.2</v>
      </c>
      <c r="F155" t="str">
        <f ca="1" t="shared" si="33"/>
        <v> X</v>
      </c>
      <c r="G155" t="str">
        <f ca="1" t="shared" si="34"/>
        <v>NY border.. b/c Rt 7A / Rt 7 / Conklin Ave</v>
      </c>
      <c r="H155" t="e">
        <f t="shared" si="35"/>
        <v>#VALUE!</v>
      </c>
      <c r="I155" t="str">
        <f t="shared" si="36"/>
        <v>NY border.. b/c Rt 7A / Rt 7 / Conklin Ave</v>
      </c>
      <c r="J155">
        <f t="shared" si="37"/>
      </c>
    </row>
    <row r="156" spans="1:10" ht="15">
      <c r="A156">
        <f ca="1" t="shared" si="39"/>
        <v>3</v>
      </c>
      <c r="B156">
        <f ca="1" t="shared" si="40"/>
        <v>8</v>
      </c>
      <c r="C156" t="str">
        <f t="shared" si="41"/>
        <v>Seg3!</v>
      </c>
      <c r="D156">
        <f ca="1" t="shared" si="32"/>
        <v>237.82999999999998</v>
      </c>
      <c r="E156">
        <f t="shared" si="38"/>
        <v>239</v>
      </c>
      <c r="F156" t="str">
        <f ca="1" t="shared" si="33"/>
        <v> Pass</v>
      </c>
      <c r="G156" t="str">
        <f ca="1" t="shared" si="34"/>
        <v>(TFL) Exchange St (on right) [Binghamton]</v>
      </c>
      <c r="H156" t="e">
        <f t="shared" si="35"/>
        <v>#VALUE!</v>
      </c>
      <c r="I156" t="str">
        <f t="shared" si="36"/>
        <v>(TFL) Exchange St (on right) [Binghamton]</v>
      </c>
      <c r="J156">
        <f t="shared" si="37"/>
      </c>
    </row>
    <row r="157" spans="1:10" ht="15">
      <c r="A157">
        <f ca="1" t="shared" si="39"/>
        <v>3</v>
      </c>
      <c r="B157">
        <f ca="1" t="shared" si="40"/>
        <v>9</v>
      </c>
      <c r="C157" t="str">
        <f t="shared" si="41"/>
        <v>Seg3!</v>
      </c>
      <c r="D157">
        <f ca="1" t="shared" si="32"/>
        <v>238.18</v>
      </c>
      <c r="E157">
        <f t="shared" si="38"/>
        <v>239.4</v>
      </c>
      <c r="F157" t="str">
        <f ca="1" t="shared" si="33"/>
        <v> Left</v>
      </c>
      <c r="G157" t="str">
        <f ca="1" t="shared" si="34"/>
        <v>(Blinking TFL) (unmarked) Washington St..'Tire Store'...follow "Bike 2" {Diner MiniMarts}</v>
      </c>
      <c r="H157">
        <f t="shared" si="35"/>
        <v>73</v>
      </c>
      <c r="I157" t="str">
        <f t="shared" si="36"/>
        <v>(Blinking TFL) (unmarked) Washington St..'Tire Store'...follow "Bike 2" </v>
      </c>
      <c r="J157" t="str">
        <f t="shared" si="37"/>
        <v>Diner MiniMarts</v>
      </c>
    </row>
    <row r="158" spans="1:10" ht="15">
      <c r="A158">
        <f ca="1" t="shared" si="39"/>
        <v>3</v>
      </c>
      <c r="B158">
        <f ca="1" t="shared" si="40"/>
        <v>10</v>
      </c>
      <c r="C158" t="str">
        <f t="shared" si="41"/>
        <v>Seg3!</v>
      </c>
      <c r="D158">
        <f ca="1" t="shared" si="32"/>
        <v>238.35</v>
      </c>
      <c r="E158">
        <f t="shared" si="38"/>
        <v>239.5</v>
      </c>
      <c r="F158" t="str">
        <f ca="1" t="shared" si="33"/>
        <v> R</v>
      </c>
      <c r="G158" t="str">
        <f ca="1" t="shared" si="34"/>
        <v>(2nd TFL) Vestal Ave.."Bike 2" {MiniMart}</v>
      </c>
      <c r="H158">
        <f t="shared" si="35"/>
        <v>32</v>
      </c>
      <c r="I158" t="str">
        <f t="shared" si="36"/>
        <v>(2nd TFL) Vestal Ave.."Bike 2" </v>
      </c>
      <c r="J158" t="str">
        <f t="shared" si="37"/>
        <v>MiniMart</v>
      </c>
    </row>
    <row r="159" spans="1:10" ht="15">
      <c r="A159">
        <f ca="1" t="shared" si="39"/>
        <v>3</v>
      </c>
      <c r="B159">
        <f ca="1" t="shared" si="40"/>
        <v>11</v>
      </c>
      <c r="C159" t="str">
        <f t="shared" si="41"/>
        <v>Seg3!</v>
      </c>
      <c r="D159">
        <f ca="1" t="shared" si="32"/>
        <v>240.24</v>
      </c>
      <c r="E159">
        <f t="shared" si="38"/>
        <v>241.4</v>
      </c>
      <c r="F159" t="str">
        <f ca="1" t="shared" si="33"/>
        <v> L</v>
      </c>
      <c r="G159" t="str">
        <f ca="1" t="shared" si="34"/>
        <v>(TFL) Merging with Rt 434 West.."Bike 2" {Stores}</v>
      </c>
      <c r="H159">
        <f t="shared" si="35"/>
        <v>42</v>
      </c>
      <c r="I159" t="str">
        <f t="shared" si="36"/>
        <v>(TFL) Merging with Rt 434 West.."Bike 2" </v>
      </c>
      <c r="J159" t="str">
        <f t="shared" si="37"/>
        <v>Stores</v>
      </c>
    </row>
    <row r="160" spans="1:10" ht="15">
      <c r="A160">
        <f ca="1" t="shared" si="39"/>
        <v>3</v>
      </c>
      <c r="B160">
        <f ca="1" t="shared" si="40"/>
        <v>12</v>
      </c>
      <c r="C160" t="str">
        <f t="shared" si="41"/>
        <v>Seg3!</v>
      </c>
      <c r="D160">
        <f ca="1" t="shared" si="32"/>
        <v>240.98</v>
      </c>
      <c r="E160">
        <f t="shared" si="38"/>
        <v>242.2</v>
      </c>
      <c r="F160" t="str">
        <f ca="1" t="shared" si="33"/>
        <v> 1st B R</v>
      </c>
      <c r="G160" t="str">
        <f ca="1" t="shared" si="34"/>
        <v>Vestal Road / Rt 44.."Bike 2"</v>
      </c>
      <c r="H160" t="e">
        <f t="shared" si="35"/>
        <v>#VALUE!</v>
      </c>
      <c r="I160" t="str">
        <f t="shared" si="36"/>
        <v>Vestal Road / Rt 44.."Bike 2"</v>
      </c>
      <c r="J160">
        <f t="shared" si="37"/>
      </c>
    </row>
    <row r="161" spans="1:10" ht="15">
      <c r="A161">
        <f ca="1" t="shared" si="39"/>
        <v>3</v>
      </c>
      <c r="B161">
        <f ca="1" t="shared" si="40"/>
        <v>13</v>
      </c>
      <c r="C161" t="str">
        <f t="shared" si="41"/>
        <v>Seg3!</v>
      </c>
      <c r="D161">
        <f ca="1" t="shared" si="32"/>
        <v>241.55</v>
      </c>
      <c r="E161">
        <f t="shared" si="38"/>
        <v>242.8</v>
      </c>
      <c r="F161" t="str">
        <f ca="1" t="shared" si="33"/>
        <v> B L</v>
      </c>
      <c r="G161" t="str">
        <f ca="1" t="shared" si="34"/>
        <v>(TFL) TRO Vestal Rd / Rt 44 (Jct Rt 201) {MiniMart ahead}</v>
      </c>
      <c r="H161">
        <f t="shared" si="35"/>
        <v>42</v>
      </c>
      <c r="I161" t="str">
        <f t="shared" si="36"/>
        <v>(TFL) TRO Vestal Rd / Rt 44 (Jct Rt 201) </v>
      </c>
      <c r="J161" t="str">
        <f t="shared" si="37"/>
        <v>MiniMart ahead</v>
      </c>
    </row>
    <row r="162" spans="1:10" ht="15">
      <c r="A162">
        <f ca="1" t="shared" si="39"/>
        <v>3</v>
      </c>
      <c r="B162">
        <f ca="1" t="shared" si="40"/>
        <v>14</v>
      </c>
      <c r="C162" t="str">
        <f t="shared" si="41"/>
        <v>Seg3!</v>
      </c>
      <c r="D162">
        <f ca="1" t="shared" si="32"/>
        <v>246.29</v>
      </c>
      <c r="E162">
        <f t="shared" si="38"/>
        <v>247.5</v>
      </c>
      <c r="F162" t="str">
        <f ca="1" t="shared" si="33"/>
        <v> T R + X</v>
      </c>
      <c r="G162" t="str">
        <f ca="1" t="shared" si="34"/>
        <v>(TFL) Main St / Rt 48..then across River Bridge..'Kwik-Fill'.."Bike 17" [Vestal] {MiniMart}</v>
      </c>
      <c r="H162">
        <f t="shared" si="35"/>
        <v>82</v>
      </c>
      <c r="I162" t="str">
        <f t="shared" si="36"/>
        <v>(TFL) Main St / Rt 48..then across River Bridge..'Kwik-Fill'.."Bike 17" [Vestal] </v>
      </c>
      <c r="J162" t="str">
        <f t="shared" si="37"/>
        <v>MiniMart</v>
      </c>
    </row>
    <row r="163" spans="1:10" ht="15">
      <c r="A163">
        <f ca="1" t="shared" si="39"/>
        <v>3</v>
      </c>
      <c r="B163">
        <f ca="1" t="shared" si="40"/>
        <v>15</v>
      </c>
      <c r="C163" t="str">
        <f t="shared" si="41"/>
        <v>Seg3!</v>
      </c>
      <c r="D163">
        <f ca="1" t="shared" si="32"/>
        <v>246.69</v>
      </c>
      <c r="E163">
        <f t="shared" si="38"/>
        <v>247.9</v>
      </c>
      <c r="F163" t="str">
        <f ca="1" t="shared" si="33"/>
        <v> L</v>
      </c>
      <c r="G163" t="str">
        <f ca="1" t="shared" si="34"/>
        <v>(TFL) Rt 17C / Main St..'Valero Mart' (Move to left lane before intersection) [Endicott] {MiniMart}</v>
      </c>
      <c r="H163">
        <f t="shared" si="35"/>
        <v>90</v>
      </c>
      <c r="I163" t="str">
        <f t="shared" si="36"/>
        <v>(TFL) Rt 17C / Main St..'Valero Mart' (Move to left lane before intersection) [Endicott] </v>
      </c>
      <c r="J163" t="str">
        <f t="shared" si="37"/>
        <v>MiniMart</v>
      </c>
    </row>
    <row r="164" spans="1:10" ht="15">
      <c r="A164">
        <f ca="1" t="shared" si="39"/>
        <v>3</v>
      </c>
      <c r="B164">
        <f ca="1" t="shared" si="40"/>
        <v>16</v>
      </c>
      <c r="C164" t="str">
        <f t="shared" si="41"/>
        <v>Seg3!</v>
      </c>
      <c r="D164">
        <f ca="1" t="shared" si="32"/>
        <v>258.1</v>
      </c>
      <c r="E164">
        <f t="shared" si="38"/>
        <v>259.4</v>
      </c>
      <c r="F164" t="str">
        <f ca="1" t="shared" si="33"/>
        <v> Pass</v>
      </c>
      <c r="G164" t="str">
        <f ca="1" t="shared" si="34"/>
        <v>Owego city limit {Hotels Stores FastFood Restaurants}</v>
      </c>
      <c r="H164">
        <f t="shared" si="35"/>
        <v>18</v>
      </c>
      <c r="I164" t="str">
        <f t="shared" si="36"/>
        <v>Owego city limit </v>
      </c>
      <c r="J164" t="str">
        <f t="shared" si="37"/>
        <v>Hotels Stores FastFood Restaurants</v>
      </c>
    </row>
    <row r="165" spans="1:10" ht="15">
      <c r="A165">
        <f ca="1" t="shared" si="39"/>
        <v>3</v>
      </c>
      <c r="B165">
        <f ca="1" t="shared" si="40"/>
        <v>17</v>
      </c>
      <c r="C165" t="str">
        <f t="shared" si="41"/>
        <v>Seg3!</v>
      </c>
      <c r="D165">
        <f ca="1" t="shared" si="32"/>
        <v>260.2</v>
      </c>
      <c r="E165">
        <f t="shared" si="38"/>
        <v>261.5</v>
      </c>
      <c r="F165" t="str">
        <f ca="1" t="shared" si="33"/>
        <v> Straight</v>
      </c>
      <c r="G165" t="str">
        <f ca="1" t="shared" si="34"/>
        <v>(TFL) Joining Front St [Owego]..leaving Rt 17C</v>
      </c>
      <c r="H165" t="e">
        <f t="shared" si="35"/>
        <v>#VALUE!</v>
      </c>
      <c r="I165" t="str">
        <f t="shared" si="36"/>
        <v>(TFL) Joining Front St [Owego]..leaving Rt 17C</v>
      </c>
      <c r="J165">
        <f t="shared" si="37"/>
      </c>
    </row>
    <row r="166" spans="1:10" ht="15">
      <c r="A166">
        <f ca="1" t="shared" si="39"/>
        <v>3</v>
      </c>
      <c r="B166">
        <f ca="1" t="shared" si="40"/>
        <v>18</v>
      </c>
      <c r="C166" t="str">
        <f t="shared" si="41"/>
        <v>Seg3!</v>
      </c>
      <c r="D166">
        <f ca="1" t="shared" si="32"/>
        <v>260.56</v>
      </c>
      <c r="E166">
        <f t="shared" si="38"/>
        <v>261.9</v>
      </c>
      <c r="F166" t="str">
        <f ca="1" t="shared" si="33"/>
        <v> T R</v>
      </c>
      <c r="G166" t="str">
        <f ca="1" t="shared" si="34"/>
        <v>Williams St</v>
      </c>
      <c r="H166" t="e">
        <f t="shared" si="35"/>
        <v>#VALUE!</v>
      </c>
      <c r="I166" t="str">
        <f t="shared" si="36"/>
        <v>Williams St</v>
      </c>
      <c r="J166">
        <f t="shared" si="37"/>
      </c>
    </row>
    <row r="167" spans="1:10" ht="15">
      <c r="A167">
        <f ca="1" t="shared" si="39"/>
        <v>3</v>
      </c>
      <c r="B167">
        <f ca="1" t="shared" si="40"/>
        <v>19</v>
      </c>
      <c r="C167" t="str">
        <f t="shared" si="41"/>
        <v>Seg3!</v>
      </c>
      <c r="D167">
        <f ca="1" t="shared" si="32"/>
        <v>260.68</v>
      </c>
      <c r="E167">
        <f t="shared" si="38"/>
        <v>262</v>
      </c>
      <c r="F167" t="str">
        <f ca="1" t="shared" si="33"/>
        <v> T L</v>
      </c>
      <c r="G167" t="str">
        <f ca="1" t="shared" si="34"/>
        <v>Rt 17C / Main St {MiniMart}</v>
      </c>
      <c r="H167">
        <f t="shared" si="35"/>
        <v>18</v>
      </c>
      <c r="I167" t="str">
        <f t="shared" si="36"/>
        <v>Rt 17C / Main St </v>
      </c>
      <c r="J167" t="str">
        <f t="shared" si="37"/>
        <v>MiniMart</v>
      </c>
    </row>
    <row r="168" spans="1:10" ht="15">
      <c r="A168">
        <f ca="1" t="shared" si="39"/>
        <v>3</v>
      </c>
      <c r="B168">
        <f ca="1" t="shared" si="40"/>
        <v>20</v>
      </c>
      <c r="C168" t="str">
        <f t="shared" si="41"/>
        <v>Seg3!</v>
      </c>
      <c r="D168">
        <f ca="1" t="shared" si="32"/>
        <v>261.58</v>
      </c>
      <c r="E168">
        <f t="shared" si="38"/>
        <v>262.9</v>
      </c>
      <c r="F168" t="str">
        <f ca="1" t="shared" si="33"/>
        <v> B L</v>
      </c>
      <c r="G168" t="str">
        <f ca="1" t="shared" si="34"/>
        <v>FMR TRO Rt 17C (Rt 43 goes right)</v>
      </c>
      <c r="H168" t="e">
        <f t="shared" si="35"/>
        <v>#VALUE!</v>
      </c>
      <c r="I168" t="str">
        <f t="shared" si="36"/>
        <v>FMR TRO Rt 17C (Rt 43 goes right)</v>
      </c>
      <c r="J168">
        <f t="shared" si="37"/>
      </c>
    </row>
    <row r="169" spans="1:10" ht="15">
      <c r="A169">
        <f ca="1" t="shared" si="39"/>
        <v>3</v>
      </c>
      <c r="B169">
        <f ca="1" t="shared" si="40"/>
        <v>21</v>
      </c>
      <c r="C169" t="str">
        <f t="shared" si="41"/>
        <v>Seg3!</v>
      </c>
      <c r="D169">
        <f ca="1" t="shared" si="32"/>
        <v>269.05</v>
      </c>
      <c r="E169">
        <f t="shared" si="38"/>
        <v>270.4</v>
      </c>
      <c r="F169" t="str">
        <f ca="1" t="shared" si="33"/>
        <v> L</v>
      </c>
      <c r="G169" t="str">
        <f ca="1" t="shared" si="34"/>
        <v>Rt 282.."Attractions"</v>
      </c>
      <c r="H169" t="e">
        <f t="shared" si="35"/>
        <v>#VALUE!</v>
      </c>
      <c r="I169" t="str">
        <f t="shared" si="36"/>
        <v>Rt 282.."Attractions"</v>
      </c>
      <c r="J169">
        <f t="shared" si="37"/>
      </c>
    </row>
    <row r="170" spans="1:10" ht="15">
      <c r="A170">
        <f ca="1" t="shared" si="39"/>
        <v>3</v>
      </c>
      <c r="B170">
        <f ca="1" t="shared" si="40"/>
        <v>22</v>
      </c>
      <c r="C170" t="str">
        <f t="shared" si="41"/>
        <v>Seg3!</v>
      </c>
      <c r="D170">
        <f ca="1" t="shared" si="32"/>
        <v>269.63</v>
      </c>
      <c r="E170">
        <f t="shared" si="38"/>
        <v>271</v>
      </c>
      <c r="F170" t="str">
        <f ca="1" t="shared" si="33"/>
        <v> T L</v>
      </c>
      <c r="G170" t="str">
        <f ca="1" t="shared" si="34"/>
        <v>Rt 4 / West River Dr</v>
      </c>
      <c r="H170" t="e">
        <f t="shared" si="35"/>
        <v>#VALUE!</v>
      </c>
      <c r="I170" t="str">
        <f t="shared" si="36"/>
        <v>Rt 4 / West River Dr</v>
      </c>
      <c r="J170">
        <f t="shared" si="37"/>
      </c>
    </row>
    <row r="171" spans="1:10" ht="15">
      <c r="A171">
        <f ca="1" t="shared" si="39"/>
        <v>3</v>
      </c>
      <c r="B171">
        <f ca="1" t="shared" si="40"/>
        <v>23</v>
      </c>
      <c r="C171" t="str">
        <f t="shared" si="41"/>
        <v>Seg3!</v>
      </c>
      <c r="D171">
        <f ca="1" t="shared" si="32"/>
        <v>269.79</v>
      </c>
      <c r="E171">
        <f t="shared" si="38"/>
        <v>271.1</v>
      </c>
      <c r="F171" t="str">
        <f ca="1" t="shared" si="33"/>
        <v> STOP</v>
      </c>
      <c r="G171" t="str">
        <f ca="1" t="shared" si="34"/>
        <v>Controle Citgo / Dandy Mini Mart (Answer Info Controle question on card) {MiniMart}</v>
      </c>
      <c r="H171">
        <f t="shared" si="35"/>
        <v>74</v>
      </c>
      <c r="I171" t="str">
        <f t="shared" si="36"/>
        <v>Controle Citgo / Dandy Mini Mart (Answer Info Controle question on card) </v>
      </c>
      <c r="J171" t="str">
        <f t="shared" si="37"/>
        <v>MiniMart</v>
      </c>
    </row>
    <row r="172" spans="1:10" ht="15">
      <c r="A172">
        <f ca="1" t="shared" si="39"/>
        <v>3</v>
      </c>
      <c r="B172">
        <f ca="1" t="shared" si="40"/>
        <v>24</v>
      </c>
      <c r="C172" t="str">
        <f t="shared" si="41"/>
        <v>Seg3!</v>
      </c>
      <c r="D172">
        <f ca="1" t="shared" si="32"/>
        <v>269.84</v>
      </c>
      <c r="E172">
        <f t="shared" si="38"/>
        <v>271.2</v>
      </c>
      <c r="F172" t="str">
        <f ca="1" t="shared" si="33"/>
        <v> Backtrack</v>
      </c>
      <c r="G172" t="str">
        <f ca="1" t="shared" si="34"/>
        <v>Leave parking lot turning left on Rt 4 / West River Rd (reverse direction)</v>
      </c>
      <c r="H172" t="e">
        <f t="shared" si="35"/>
        <v>#VALUE!</v>
      </c>
      <c r="I172" t="str">
        <f t="shared" si="36"/>
        <v>Leave parking lot turning left on Rt 4 / West River Rd (reverse direction)</v>
      </c>
      <c r="J172">
        <f t="shared" si="37"/>
      </c>
    </row>
    <row r="173" spans="1:10" ht="15">
      <c r="A173">
        <f ca="1" t="shared" si="39"/>
        <v>3</v>
      </c>
      <c r="B173">
        <f ca="1" t="shared" si="40"/>
        <v>25</v>
      </c>
      <c r="C173" t="str">
        <f t="shared" si="41"/>
        <v>Seg3!</v>
      </c>
      <c r="D173">
        <f ca="1" t="shared" si="32"/>
        <v>275.05</v>
      </c>
      <c r="E173">
        <f t="shared" si="38"/>
        <v>276.4</v>
      </c>
      <c r="F173" t="str">
        <f ca="1" t="shared" si="33"/>
        <v> X</v>
      </c>
      <c r="G173" t="str">
        <f ca="1" t="shared" si="34"/>
        <v>Rt 17 underpass..b/c Riverside Dr / Rt 1043 </v>
      </c>
      <c r="H173" t="e">
        <f t="shared" si="35"/>
        <v>#VALUE!</v>
      </c>
      <c r="I173" t="str">
        <f t="shared" si="36"/>
        <v>Rt 17 underpass..b/c Riverside Dr / Rt 1043 </v>
      </c>
      <c r="J173">
        <f t="shared" si="37"/>
      </c>
    </row>
    <row r="174" spans="1:10" ht="15">
      <c r="A174">
        <f ca="1" t="shared" si="39"/>
        <v>3</v>
      </c>
      <c r="B174">
        <f ca="1" t="shared" si="40"/>
        <v>26</v>
      </c>
      <c r="C174" t="str">
        <f t="shared" si="41"/>
        <v>Seg3!</v>
      </c>
      <c r="D174">
        <f ca="1" t="shared" si="32"/>
        <v>280.04</v>
      </c>
      <c r="E174">
        <f t="shared" si="38"/>
        <v>281.4</v>
      </c>
      <c r="F174" t="str">
        <f ca="1" t="shared" si="33"/>
        <v> X</v>
      </c>
      <c r="G174" t="str">
        <f ca="1" t="shared" si="34"/>
        <v>(SS) Rt 1056 TRO Rt 1043 ***CAUTION*** Road closed ahead but passable by foot. Watch for road debris and washouts.</v>
      </c>
      <c r="H174" t="e">
        <f t="shared" si="35"/>
        <v>#VALUE!</v>
      </c>
      <c r="I174" t="str">
        <f t="shared" si="36"/>
        <v>(SS) Rt 1056 TRO Rt 1043 ***CAUTION*** Road closed ahead but passable by foot. Watch for road debris and washouts.</v>
      </c>
      <c r="J174">
        <f t="shared" si="37"/>
      </c>
    </row>
    <row r="175" spans="1:10" ht="15">
      <c r="A175">
        <f ca="1" t="shared" si="39"/>
        <v>3</v>
      </c>
      <c r="B175">
        <f ca="1" t="shared" si="40"/>
        <v>27</v>
      </c>
      <c r="C175" t="str">
        <f t="shared" si="41"/>
        <v>Seg3!</v>
      </c>
      <c r="D175">
        <f ca="1" t="shared" si="32"/>
        <v>293.1</v>
      </c>
      <c r="E175">
        <f t="shared" si="38"/>
        <v>294.6</v>
      </c>
      <c r="F175" t="str">
        <f ca="1" t="shared" si="33"/>
        <v> T R</v>
      </c>
      <c r="G175" t="str">
        <f ca="1" t="shared" si="34"/>
        <v>Rt 1041 James St (cross bridge)</v>
      </c>
      <c r="H175" t="e">
        <f t="shared" si="35"/>
        <v>#VALUE!</v>
      </c>
      <c r="I175" t="str">
        <f t="shared" si="36"/>
        <v>Rt 1041 James St (cross bridge)</v>
      </c>
      <c r="J175">
        <f t="shared" si="37"/>
      </c>
    </row>
    <row r="176" spans="1:10" ht="15">
      <c r="A176">
        <f ca="1" t="shared" si="39"/>
        <v>3</v>
      </c>
      <c r="B176">
        <f ca="1" t="shared" si="40"/>
        <v>28</v>
      </c>
      <c r="C176" t="str">
        <f t="shared" si="41"/>
        <v>Seg3!</v>
      </c>
      <c r="D176">
        <f ca="1" t="shared" si="32"/>
        <v>293.81</v>
      </c>
      <c r="E176">
        <f t="shared" si="38"/>
        <v>295.3</v>
      </c>
      <c r="F176" t="str">
        <f ca="1" t="shared" si="33"/>
        <v> STOP</v>
      </c>
      <c r="G176" t="str">
        <f ca="1" t="shared" si="34"/>
        <v>Controle Dandy Gas N' Go (jct James St  / Reuter Blvd {MiniMart}</v>
      </c>
      <c r="H176">
        <f t="shared" si="35"/>
        <v>55</v>
      </c>
      <c r="I176" t="str">
        <f t="shared" si="36"/>
        <v>Controle Dandy Gas N' Go (jct James St  / Reuter Blvd </v>
      </c>
      <c r="J176" t="str">
        <f t="shared" si="37"/>
        <v>MiniMart</v>
      </c>
    </row>
    <row r="177" spans="1:10" ht="15">
      <c r="A177">
        <f ca="1" t="shared" si="39"/>
        <v>3</v>
      </c>
      <c r="B177">
        <f ca="1" t="shared" si="40"/>
        <v>29</v>
      </c>
      <c r="C177" t="str">
        <f t="shared" si="41"/>
        <v>Seg3!</v>
      </c>
      <c r="D177">
        <f ca="1" t="shared" si="32"/>
        <v>293.83</v>
      </c>
      <c r="E177">
        <f t="shared" si="38"/>
        <v>295.3</v>
      </c>
      <c r="F177" t="str">
        <f ca="1" t="shared" si="33"/>
        <v> Turn</v>
      </c>
      <c r="G177" t="str">
        <f ca="1" t="shared" si="34"/>
        <v>Leave parking lot turning left on Reuter Blvd (exit near gas pumps)</v>
      </c>
      <c r="H177" t="e">
        <f t="shared" si="35"/>
        <v>#VALUE!</v>
      </c>
      <c r="I177" t="str">
        <f t="shared" si="36"/>
        <v>Leave parking lot turning left on Reuter Blvd (exit near gas pumps)</v>
      </c>
      <c r="J177">
        <f t="shared" si="37"/>
      </c>
    </row>
    <row r="178" spans="1:10" ht="15">
      <c r="A178">
        <f ca="1" t="shared" si="39"/>
        <v>3</v>
      </c>
      <c r="B178">
        <f ca="1" t="shared" si="40"/>
        <v>30</v>
      </c>
      <c r="C178" t="str">
        <f t="shared" si="41"/>
        <v>Seg3!</v>
      </c>
      <c r="D178">
        <f ca="1" t="shared" si="32"/>
        <v>293.97</v>
      </c>
      <c r="E178">
        <f t="shared" si="38"/>
        <v>295.5</v>
      </c>
      <c r="F178" t="str">
        <f ca="1" t="shared" si="33"/>
        <v> QL</v>
      </c>
      <c r="G178" t="str">
        <f ca="1" t="shared" si="34"/>
        <v>(TFL) (John B) Merrill Pkwy</v>
      </c>
      <c r="H178" t="e">
        <f t="shared" si="35"/>
        <v>#VALUE!</v>
      </c>
      <c r="I178" t="str">
        <f t="shared" si="36"/>
        <v>(TFL) (John B) Merrill Pkwy</v>
      </c>
      <c r="J178">
        <f t="shared" si="37"/>
      </c>
    </row>
    <row r="179" spans="1:10" ht="15">
      <c r="A179">
        <f ca="1" t="shared" si="39"/>
        <v>3</v>
      </c>
      <c r="B179">
        <f ca="1" t="shared" si="40"/>
        <v>31</v>
      </c>
      <c r="C179" t="str">
        <f t="shared" si="41"/>
        <v>Seg3!</v>
      </c>
      <c r="D179">
        <f ca="1" t="shared" si="32"/>
        <v>295.46</v>
      </c>
      <c r="E179">
        <f t="shared" si="38"/>
        <v>296.9</v>
      </c>
      <c r="F179" t="str">
        <f ca="1" t="shared" si="33"/>
        <v> R</v>
      </c>
      <c r="G179" t="str">
        <f ca="1" t="shared" si="34"/>
        <v>State St (before RR crossing..."Flying Cow" bakery on right) {Bakery Cafe}</v>
      </c>
      <c r="H179">
        <f t="shared" si="35"/>
        <v>62</v>
      </c>
      <c r="I179" t="str">
        <f t="shared" si="36"/>
        <v>State St (before RR crossing..."Flying Cow" bakery on right) </v>
      </c>
      <c r="J179" t="str">
        <f t="shared" si="37"/>
        <v>Bakery Cafe</v>
      </c>
    </row>
    <row r="180" spans="1:10" ht="15">
      <c r="A180">
        <f ca="1" t="shared" si="39"/>
        <v>3</v>
      </c>
      <c r="B180">
        <f ca="1" t="shared" si="40"/>
        <v>32</v>
      </c>
      <c r="C180" t="str">
        <f t="shared" si="41"/>
        <v>Seg3!</v>
      </c>
      <c r="D180">
        <f ca="1" t="shared" si="32"/>
        <v>295.53</v>
      </c>
      <c r="E180">
        <f t="shared" si="38"/>
        <v>297</v>
      </c>
      <c r="F180" t="str">
        <f ca="1" t="shared" si="33"/>
        <v> L</v>
      </c>
      <c r="G180" t="str">
        <f ca="1" t="shared" si="34"/>
        <v>(SS) Main St / Rt 6</v>
      </c>
      <c r="H180" t="e">
        <f t="shared" si="35"/>
        <v>#VALUE!</v>
      </c>
      <c r="I180" t="str">
        <f t="shared" si="36"/>
        <v>(SS) Main St / Rt 6</v>
      </c>
      <c r="J180">
        <f t="shared" si="37"/>
      </c>
    </row>
    <row r="181" spans="1:10" ht="15">
      <c r="A181">
        <f ca="1" t="shared" si="39"/>
        <v>3</v>
      </c>
      <c r="B181">
        <f ca="1" t="shared" si="40"/>
        <v>33</v>
      </c>
      <c r="C181" t="str">
        <f t="shared" si="41"/>
        <v>Seg3!</v>
      </c>
      <c r="D181">
        <f ca="1" t="shared" si="32"/>
        <v>295.96</v>
      </c>
      <c r="E181">
        <f t="shared" si="38"/>
        <v>297.5</v>
      </c>
      <c r="F181" t="str">
        <f ca="1" t="shared" si="33"/>
        <v> Straight</v>
      </c>
      <c r="G181" t="str">
        <f ca="1" t="shared" si="34"/>
        <v>(TFL) Joining Rt 2027 / Main St  (leaving Rt 6) {MiniMart}</v>
      </c>
      <c r="H181">
        <f t="shared" si="35"/>
        <v>49</v>
      </c>
      <c r="I181" t="str">
        <f t="shared" si="36"/>
        <v>(TFL) Joining Rt 2027 / Main St  (leaving Rt 6) </v>
      </c>
      <c r="J181" t="str">
        <f t="shared" si="37"/>
        <v>MiniMart</v>
      </c>
    </row>
    <row r="182" spans="1:10" ht="15">
      <c r="A182">
        <f ca="1" t="shared" si="39"/>
        <v>3</v>
      </c>
      <c r="B182">
        <f ca="1" t="shared" si="40"/>
        <v>34</v>
      </c>
      <c r="C182" t="str">
        <f t="shared" si="41"/>
        <v>Seg3!</v>
      </c>
      <c r="D182">
        <f ca="1" t="shared" si="32"/>
        <v>297.69</v>
      </c>
      <c r="E182">
        <f t="shared" si="38"/>
        <v>299.2</v>
      </c>
      <c r="F182" t="str">
        <f ca="1" t="shared" si="33"/>
        <v> T L</v>
      </c>
      <c r="G182" t="str">
        <f ca="1" t="shared" si="34"/>
        <v>Rt 220 {Diner on left before turn}</v>
      </c>
      <c r="H182">
        <f t="shared" si="35"/>
        <v>8</v>
      </c>
      <c r="I182" t="str">
        <f t="shared" si="36"/>
        <v>Rt 220 </v>
      </c>
      <c r="J182" t="str">
        <f t="shared" si="37"/>
        <v>Diner on left before turn</v>
      </c>
    </row>
    <row r="183" spans="1:10" ht="15">
      <c r="A183">
        <f ca="1" t="shared" si="39"/>
        <v>3</v>
      </c>
      <c r="B183">
        <f ca="1" t="shared" si="40"/>
        <v>35</v>
      </c>
      <c r="C183" t="str">
        <f t="shared" si="41"/>
        <v>Seg3!</v>
      </c>
      <c r="D183">
        <f ca="1" t="shared" si="32"/>
        <v>299.51</v>
      </c>
      <c r="E183">
        <f t="shared" si="38"/>
        <v>301</v>
      </c>
      <c r="F183" t="str">
        <f ca="1" t="shared" si="33"/>
        <v> R</v>
      </c>
      <c r="G183" t="str">
        <f ca="1" t="shared" si="34"/>
        <v>Rt 414 {Deli}</v>
      </c>
      <c r="H183">
        <f t="shared" si="35"/>
        <v>8</v>
      </c>
      <c r="I183" t="str">
        <f t="shared" si="36"/>
        <v>Rt 414 </v>
      </c>
      <c r="J183" t="str">
        <f t="shared" si="37"/>
        <v>Deli</v>
      </c>
    </row>
    <row r="184" spans="1:10" ht="15">
      <c r="A184">
        <f ca="1" t="shared" si="39"/>
        <v>3</v>
      </c>
      <c r="B184">
        <f ca="1" t="shared" si="40"/>
        <v>36</v>
      </c>
      <c r="C184" t="str">
        <f t="shared" si="41"/>
        <v>Seg3!</v>
      </c>
      <c r="D184">
        <f ca="1" t="shared" si="32"/>
        <v>304.72</v>
      </c>
      <c r="E184">
        <f t="shared" si="38"/>
        <v>306.3</v>
      </c>
      <c r="F184" t="str">
        <f ca="1" t="shared" si="33"/>
        <v> ***L</v>
      </c>
      <c r="G184" t="str">
        <f ca="1" t="shared" si="34"/>
        <v>Rt 3008 / Southside Rd (1st L in Franklindale...just after defunct JJ Deli on right)</v>
      </c>
      <c r="H184" t="e">
        <f t="shared" si="35"/>
        <v>#VALUE!</v>
      </c>
      <c r="I184" t="str">
        <f t="shared" si="36"/>
        <v>Rt 3008 / Southside Rd (1st L in Franklindale...just after defunct JJ Deli on right)</v>
      </c>
      <c r="J184">
        <f t="shared" si="37"/>
      </c>
    </row>
    <row r="185" spans="1:10" ht="15">
      <c r="A185">
        <f ca="1" t="shared" si="39"/>
        <v>3</v>
      </c>
      <c r="B185">
        <f ca="1" t="shared" si="40"/>
        <v>37</v>
      </c>
      <c r="C185" t="str">
        <f t="shared" si="41"/>
        <v>Seg3!</v>
      </c>
      <c r="D185">
        <f ca="1" t="shared" si="32"/>
        <v>320.99</v>
      </c>
      <c r="E185">
        <f t="shared" si="38"/>
        <v>322.6</v>
      </c>
      <c r="F185" t="str">
        <f ca="1" t="shared" si="33"/>
        <v> R</v>
      </c>
      <c r="G185" t="str">
        <f ca="1" t="shared" si="34"/>
        <v>(SS) Rt 154 / Minnequa Ave (Lake Hill Rd on left)</v>
      </c>
      <c r="H185" t="e">
        <f t="shared" si="35"/>
        <v>#VALUE!</v>
      </c>
      <c r="I185" t="str">
        <f t="shared" si="36"/>
        <v>(SS) Rt 154 / Minnequa Ave (Lake Hill Rd on left)</v>
      </c>
      <c r="J185">
        <f t="shared" si="37"/>
      </c>
    </row>
    <row r="186" spans="1:10" ht="15">
      <c r="A186">
        <f ca="1" t="shared" si="39"/>
        <v>3</v>
      </c>
      <c r="B186">
        <f ca="1" t="shared" si="40"/>
        <v>38</v>
      </c>
      <c r="C186" t="str">
        <f t="shared" si="41"/>
        <v>Seg3!</v>
      </c>
      <c r="D186">
        <f ca="1" t="shared" si="32"/>
        <v>321.40999999999997</v>
      </c>
      <c r="E186">
        <f t="shared" si="38"/>
        <v>323</v>
      </c>
      <c r="F186" t="str">
        <f ca="1" t="shared" si="33"/>
        <v> STOP</v>
      </c>
      <c r="G186" t="str">
        <f ca="1" t="shared" si="34"/>
        <v>Controle Exxon Acorn Jct Rt 414 / Minnequa Ave [Canton] {MiniMart}</v>
      </c>
      <c r="H186">
        <f t="shared" si="35"/>
        <v>57</v>
      </c>
      <c r="I186" t="str">
        <f t="shared" si="36"/>
        <v>Controle Exxon Acorn Jct Rt 414 / Minnequa Ave [Canton] </v>
      </c>
      <c r="J186" t="str">
        <f t="shared" si="37"/>
        <v>MiniMart</v>
      </c>
    </row>
    <row r="187" spans="1:10" ht="15">
      <c r="A187">
        <f ca="1" t="shared" si="39"/>
        <v>3</v>
      </c>
      <c r="B187">
        <f ca="1" t="shared" si="40"/>
        <v>39</v>
      </c>
      <c r="C187" t="str">
        <f t="shared" si="41"/>
        <v>Seg3!</v>
      </c>
      <c r="D187">
        <f ca="1" t="shared" si="32"/>
        <v>321.42</v>
      </c>
      <c r="E187">
        <f t="shared" si="38"/>
        <v>323</v>
      </c>
      <c r="F187" t="str">
        <f ca="1" t="shared" si="33"/>
        <v> Turn</v>
      </c>
      <c r="G187" t="str">
        <f ca="1" t="shared" si="34"/>
        <v>Leave controle turning left on Main St / Rt 414 West</v>
      </c>
      <c r="H187" t="e">
        <f t="shared" si="35"/>
        <v>#VALUE!</v>
      </c>
      <c r="I187" t="str">
        <f t="shared" si="36"/>
        <v>Leave controle turning left on Main St / Rt 414 West</v>
      </c>
      <c r="J187">
        <f t="shared" si="37"/>
      </c>
    </row>
    <row r="188" spans="1:10" ht="15">
      <c r="A188">
        <f ca="1" t="shared" si="39"/>
        <v>3</v>
      </c>
      <c r="B188">
        <f ca="1" t="shared" si="40"/>
        <v>40</v>
      </c>
      <c r="C188" t="str">
        <f t="shared" si="41"/>
        <v>Seg3!</v>
      </c>
      <c r="D188">
        <f ca="1" t="shared" si="32"/>
        <v>321.55</v>
      </c>
      <c r="E188">
        <f t="shared" si="38"/>
        <v>323.2</v>
      </c>
      <c r="F188" t="str">
        <f ca="1" t="shared" si="33"/>
        <v> T L</v>
      </c>
      <c r="G188" t="str">
        <f ca="1" t="shared" si="34"/>
        <v>(TFL) TRO Rt 414 West  / Sullivan St</v>
      </c>
      <c r="H188" t="e">
        <f t="shared" si="35"/>
        <v>#VALUE!</v>
      </c>
      <c r="I188" t="str">
        <f t="shared" si="36"/>
        <v>(TFL) TRO Rt 414 West  / Sullivan St</v>
      </c>
      <c r="J188">
        <f t="shared" si="37"/>
      </c>
    </row>
    <row r="189" spans="1:10" ht="15">
      <c r="A189">
        <f ca="1" t="shared" si="39"/>
        <v>3</v>
      </c>
      <c r="B189">
        <f ca="1" t="shared" si="40"/>
        <v>41</v>
      </c>
      <c r="C189" t="str">
        <f t="shared" si="41"/>
        <v>Seg3!</v>
      </c>
      <c r="D189">
        <f ca="1" t="shared" si="32"/>
        <v>323.08</v>
      </c>
      <c r="E189">
        <f t="shared" si="38"/>
        <v>324.7</v>
      </c>
      <c r="F189" t="str">
        <f ca="1" t="shared" si="33"/>
        <v> R</v>
      </c>
      <c r="G189" t="str">
        <f ca="1" t="shared" si="34"/>
        <v>TRO Rt 414 (Rt 14 continues straight) {MiniMart limited services ahead}</v>
      </c>
      <c r="H189">
        <f t="shared" si="35"/>
        <v>39</v>
      </c>
      <c r="I189" t="str">
        <f t="shared" si="36"/>
        <v>TRO Rt 414 (Rt 14 continues straight) </v>
      </c>
      <c r="J189" t="str">
        <f t="shared" si="37"/>
        <v>MiniMart limited services ahead</v>
      </c>
    </row>
    <row r="190" spans="1:10" ht="15">
      <c r="A190">
        <f ca="1" t="shared" si="39"/>
        <v>3</v>
      </c>
      <c r="B190">
        <f ca="1" t="shared" si="40"/>
        <v>42</v>
      </c>
      <c r="C190" t="str">
        <f t="shared" si="41"/>
        <v>Seg3!</v>
      </c>
      <c r="D190">
        <f ca="1" t="shared" si="32"/>
        <v>326.40999999999997</v>
      </c>
      <c r="E190">
        <f t="shared" si="38"/>
        <v>328.1</v>
      </c>
      <c r="F190" t="str">
        <f ca="1" t="shared" si="33"/>
        <v> B L</v>
      </c>
      <c r="G190" t="str">
        <f ca="1" t="shared" si="34"/>
        <v>TRO Rt 414 (at Gleason Rd) [Gleason]</v>
      </c>
      <c r="H190" t="e">
        <f t="shared" si="35"/>
        <v>#VALUE!</v>
      </c>
      <c r="I190" t="str">
        <f t="shared" si="36"/>
        <v>TRO Rt 414 (at Gleason Rd) [Gleason]</v>
      </c>
      <c r="J190">
        <f t="shared" si="37"/>
      </c>
    </row>
    <row r="191" spans="1:10" ht="15">
      <c r="A191">
        <f ca="1" t="shared" si="39"/>
        <v>3</v>
      </c>
      <c r="B191">
        <f ca="1" t="shared" si="40"/>
        <v>43</v>
      </c>
      <c r="C191" t="str">
        <f t="shared" si="41"/>
        <v>Seg3!</v>
      </c>
      <c r="D191">
        <f ca="1" t="shared" si="32"/>
        <v>329.34000000000003</v>
      </c>
      <c r="E191">
        <f t="shared" si="38"/>
        <v>331</v>
      </c>
      <c r="F191" t="str">
        <f ca="1" t="shared" si="33"/>
        <v> X</v>
      </c>
      <c r="G191" t="str">
        <f ca="1" t="shared" si="34"/>
        <v>Ogdensburg Rd TRO Rt 414 CAUTION steep twisty descents ahead {Bar (water ice)}</v>
      </c>
      <c r="H191">
        <f t="shared" si="35"/>
        <v>62</v>
      </c>
      <c r="I191" t="str">
        <f t="shared" si="36"/>
        <v>Ogdensburg Rd TRO Rt 414 CAUTION steep twisty descents ahead </v>
      </c>
      <c r="J191" t="str">
        <f t="shared" si="37"/>
        <v>Bar (water ice)</v>
      </c>
    </row>
    <row r="192" spans="1:10" ht="15">
      <c r="A192">
        <f ca="1" t="shared" si="39"/>
        <v>3</v>
      </c>
      <c r="B192">
        <f ca="1" t="shared" si="40"/>
        <v>44</v>
      </c>
      <c r="C192" t="str">
        <f t="shared" si="41"/>
        <v>Seg3!</v>
      </c>
      <c r="D192">
        <f ca="1" t="shared" si="32"/>
        <v>337.18</v>
      </c>
      <c r="E192">
        <f t="shared" si="38"/>
        <v>338.9</v>
      </c>
      <c r="F192" t="str">
        <f ca="1" t="shared" si="33"/>
        <v> B L</v>
      </c>
      <c r="G192" t="str">
        <f ca="1" t="shared" si="34"/>
        <v>FMR TRO Rt 414 at Old Mill Rd</v>
      </c>
      <c r="H192" t="e">
        <f t="shared" si="35"/>
        <v>#VALUE!</v>
      </c>
      <c r="I192" t="str">
        <f t="shared" si="36"/>
        <v>FMR TRO Rt 414 at Old Mill Rd</v>
      </c>
      <c r="J192">
        <f t="shared" si="37"/>
      </c>
    </row>
    <row r="193" spans="1:10" ht="15">
      <c r="A193">
        <f ca="1" t="shared" si="39"/>
        <v>3</v>
      </c>
      <c r="B193">
        <f ca="1" t="shared" si="40"/>
        <v>45</v>
      </c>
      <c r="C193" t="str">
        <f t="shared" si="41"/>
        <v>Seg3!</v>
      </c>
      <c r="D193">
        <f ca="1" t="shared" si="32"/>
        <v>337.57</v>
      </c>
      <c r="E193">
        <f t="shared" si="38"/>
        <v>339.3</v>
      </c>
      <c r="F193" t="str">
        <f ca="1" t="shared" si="33"/>
        <v> T L</v>
      </c>
      <c r="G193" t="str">
        <f ca="1" t="shared" si="34"/>
        <v>TRO Rt 414</v>
      </c>
      <c r="H193" t="e">
        <f t="shared" si="35"/>
        <v>#VALUE!</v>
      </c>
      <c r="I193" t="str">
        <f t="shared" si="36"/>
        <v>TRO Rt 414</v>
      </c>
      <c r="J193">
        <f t="shared" si="37"/>
      </c>
    </row>
    <row r="194" spans="1:10" ht="15">
      <c r="A194">
        <f ca="1" t="shared" si="39"/>
        <v>3</v>
      </c>
      <c r="B194">
        <f ca="1" t="shared" si="40"/>
        <v>46</v>
      </c>
      <c r="C194" t="str">
        <f t="shared" si="41"/>
        <v>Seg3!</v>
      </c>
      <c r="D194">
        <f ca="1" t="shared" si="32"/>
        <v>337.99</v>
      </c>
      <c r="E194">
        <f t="shared" si="38"/>
        <v>339.7</v>
      </c>
      <c r="F194" t="str">
        <f ca="1" t="shared" si="33"/>
        <v> Straight</v>
      </c>
      <c r="G194" t="str">
        <f ca="1" t="shared" si="34"/>
        <v>Blockhouse Rd [Liberty] (leaving Rt 414) {stores 1 block off-course left}</v>
      </c>
      <c r="H194">
        <f t="shared" si="35"/>
        <v>42</v>
      </c>
      <c r="I194" t="str">
        <f t="shared" si="36"/>
        <v>Blockhouse Rd [Liberty] (leaving Rt 414) </v>
      </c>
      <c r="J194" t="str">
        <f t="shared" si="37"/>
        <v>stores 1 block off-course left</v>
      </c>
    </row>
    <row r="195" spans="1:10" ht="15">
      <c r="A195">
        <f ca="1" t="shared" si="39"/>
        <v>3</v>
      </c>
      <c r="B195">
        <f ca="1" t="shared" si="40"/>
        <v>47</v>
      </c>
      <c r="C195" t="str">
        <f t="shared" si="41"/>
        <v>Seg3!</v>
      </c>
      <c r="D195">
        <f ca="1" t="shared" si="42" ref="D195:D258">INDIRECT($C195&amp;"L"&amp;$B195)</f>
        <v>343.4</v>
      </c>
      <c r="E195">
        <f t="shared" si="38"/>
        <v>345.1</v>
      </c>
      <c r="F195" t="str">
        <f ca="1" t="shared" si="43" ref="F195:F258">INDIRECT($C195&amp;"M"&amp;$B195)</f>
        <v> Pass</v>
      </c>
      <c r="G195" t="str">
        <f ca="1" t="shared" si="44" ref="G195:G258">INDIRECT($C195&amp;"A"&amp;$B195)</f>
        <v>Rt 15 junction (now on  Rt 284)</v>
      </c>
      <c r="H195" t="e">
        <f aca="true" t="shared" si="45" ref="H195:H258">FIND("{",G195)</f>
        <v>#VALUE!</v>
      </c>
      <c r="I195" t="str">
        <f aca="true" t="shared" si="46" ref="I195:I258">IF(ISNUMBER(H195),LEFT(G195,H195-1),G195)</f>
        <v>Rt 15 junction (now on  Rt 284)</v>
      </c>
      <c r="J195">
        <f aca="true" t="shared" si="47" ref="J195:J258">IF(ISNUMBER(H195),MID(G195,H195+1,LEN(G195)-H195-1),"")</f>
      </c>
    </row>
    <row r="196" spans="1:10" ht="15">
      <c r="A196">
        <f ca="1" t="shared" si="39"/>
        <v>3</v>
      </c>
      <c r="B196">
        <f ca="1" t="shared" si="40"/>
        <v>48</v>
      </c>
      <c r="C196" t="str">
        <f t="shared" si="41"/>
        <v>Seg3!</v>
      </c>
      <c r="D196">
        <f ca="1" t="shared" si="42"/>
        <v>351.62</v>
      </c>
      <c r="E196">
        <f aca="true" t="shared" si="48" ref="E196:E259">TRUNC(D196*$J$1,1)</f>
        <v>353.4</v>
      </c>
      <c r="F196" t="str">
        <f ca="1" t="shared" si="43"/>
        <v> T L</v>
      </c>
      <c r="G196" t="str">
        <f ca="1" t="shared" si="44"/>
        <v>Rt 287 [English Center]</v>
      </c>
      <c r="H196" t="e">
        <f t="shared" si="45"/>
        <v>#VALUE!</v>
      </c>
      <c r="I196" t="str">
        <f t="shared" si="46"/>
        <v>Rt 287 [English Center]</v>
      </c>
      <c r="J196">
        <f t="shared" si="47"/>
      </c>
    </row>
    <row r="197" spans="1:10" ht="15">
      <c r="A197">
        <f ca="1" t="shared" si="39"/>
        <v>3</v>
      </c>
      <c r="B197">
        <f ca="1" t="shared" si="40"/>
        <v>49</v>
      </c>
      <c r="C197" t="str">
        <f t="shared" si="41"/>
        <v>Seg3!</v>
      </c>
      <c r="D197">
        <f ca="1" t="shared" si="42"/>
        <v>352.69</v>
      </c>
      <c r="E197">
        <f t="shared" si="48"/>
        <v>354.5</v>
      </c>
      <c r="F197" t="str">
        <f ca="1" t="shared" si="43"/>
        <v> 1st R</v>
      </c>
      <c r="G197" t="str">
        <f ca="1" t="shared" si="44"/>
        <v>Rt 4001 / Little Pine Creek Rd (follow Little Pine Creek State Park) {bar (water ice)}</v>
      </c>
      <c r="H197">
        <f t="shared" si="45"/>
        <v>70</v>
      </c>
      <c r="I197" t="str">
        <f t="shared" si="46"/>
        <v>Rt 4001 / Little Pine Creek Rd (follow Little Pine Creek State Park) </v>
      </c>
      <c r="J197" t="str">
        <f t="shared" si="47"/>
        <v>bar (water ice)</v>
      </c>
    </row>
    <row r="198" spans="1:10" ht="15">
      <c r="A198">
        <f ca="1" t="shared" si="39"/>
        <v>3</v>
      </c>
      <c r="B198">
        <f ca="1" t="shared" si="40"/>
        <v>50</v>
      </c>
      <c r="C198" t="str">
        <f t="shared" si="41"/>
        <v>Seg3!</v>
      </c>
      <c r="D198">
        <f ca="1" t="shared" si="42"/>
        <v>353.14</v>
      </c>
      <c r="E198">
        <f t="shared" si="48"/>
        <v>354.9</v>
      </c>
      <c r="F198" t="str">
        <f ca="1" t="shared" si="43"/>
        <v> 1st L</v>
      </c>
      <c r="G198" t="str">
        <f ca="1" t="shared" si="44"/>
        <v>TRO Rt 4001 (Caution: metal bridge).."Little Pine Creek State Park"</v>
      </c>
      <c r="H198" t="e">
        <f t="shared" si="45"/>
        <v>#VALUE!</v>
      </c>
      <c r="I198" t="str">
        <f t="shared" si="46"/>
        <v>TRO Rt 4001 (Caution: metal bridge).."Little Pine Creek State Park"</v>
      </c>
      <c r="J198">
        <f t="shared" si="47"/>
      </c>
    </row>
    <row r="199" spans="1:10" ht="15">
      <c r="A199">
        <f ca="1" t="shared" si="39"/>
        <v>3</v>
      </c>
      <c r="B199">
        <f ca="1" t="shared" si="40"/>
        <v>51</v>
      </c>
      <c r="C199" t="str">
        <f t="shared" si="41"/>
        <v>Seg3!</v>
      </c>
      <c r="D199">
        <f ca="1" t="shared" si="42"/>
        <v>361.69</v>
      </c>
      <c r="E199">
        <f t="shared" si="48"/>
        <v>363.5</v>
      </c>
      <c r="F199" t="str">
        <f ca="1" t="shared" si="43"/>
        <v> Pass</v>
      </c>
      <c r="G199" t="str">
        <f ca="1" t="shared" si="44"/>
        <v>Ice Cream cone Restaurant (on left at mile marker 70){Restaurant}</v>
      </c>
      <c r="H199">
        <f t="shared" si="45"/>
        <v>54</v>
      </c>
      <c r="I199" t="str">
        <f t="shared" si="46"/>
        <v>Ice Cream cone Restaurant (on left at mile marker 70)</v>
      </c>
      <c r="J199" t="str">
        <f t="shared" si="47"/>
        <v>Restaurant</v>
      </c>
    </row>
    <row r="200" spans="1:10" ht="15">
      <c r="A200">
        <f ca="1" t="shared" si="39"/>
        <v>3</v>
      </c>
      <c r="B200">
        <f ca="1" t="shared" si="40"/>
        <v>52</v>
      </c>
      <c r="C200" t="str">
        <f t="shared" si="41"/>
        <v>Seg3!</v>
      </c>
      <c r="D200">
        <f ca="1" t="shared" si="42"/>
        <v>364.32</v>
      </c>
      <c r="E200">
        <f t="shared" si="48"/>
        <v>366.2</v>
      </c>
      <c r="F200" t="str">
        <f ca="1" t="shared" si="43"/>
        <v> T R</v>
      </c>
      <c r="G200" t="str">
        <f ca="1" t="shared" si="44"/>
        <v>Rt 44 [Waterville]</v>
      </c>
      <c r="H200" t="e">
        <f t="shared" si="45"/>
        <v>#VALUE!</v>
      </c>
      <c r="I200" t="str">
        <f t="shared" si="46"/>
        <v>Rt 44 [Waterville]</v>
      </c>
      <c r="J200">
        <f t="shared" si="47"/>
      </c>
    </row>
    <row r="201" spans="1:10" ht="15">
      <c r="A201">
        <f ca="1" t="shared" si="39"/>
        <v>3</v>
      </c>
      <c r="B201">
        <f ca="1" t="shared" si="40"/>
        <v>53</v>
      </c>
      <c r="C201" t="str">
        <f t="shared" si="41"/>
        <v>Seg3!</v>
      </c>
      <c r="D201">
        <f ca="1" t="shared" si="42"/>
        <v>364.46000000000004</v>
      </c>
      <c r="E201">
        <f t="shared" si="48"/>
        <v>366.3</v>
      </c>
      <c r="F201" t="str">
        <f ca="1" t="shared" si="43"/>
        <v> STOP</v>
      </c>
      <c r="G201" t="str">
        <f ca="1" t="shared" si="44"/>
        <v>Controle McConnell's Country Store on left.."Citgo" {General store}</v>
      </c>
      <c r="H201">
        <f t="shared" si="45"/>
        <v>53</v>
      </c>
      <c r="I201" t="str">
        <f t="shared" si="46"/>
        <v>Controle McConnell's Country Store on left.."Citgo" </v>
      </c>
      <c r="J201" t="str">
        <f t="shared" si="47"/>
        <v>General store</v>
      </c>
    </row>
    <row r="202" spans="1:10" ht="15">
      <c r="A202">
        <f ca="1" t="shared" si="39"/>
        <v>3</v>
      </c>
      <c r="B202">
        <f ca="1" t="shared" si="40"/>
        <v>54</v>
      </c>
      <c r="C202" t="str">
        <f t="shared" si="41"/>
        <v>Seg3!</v>
      </c>
      <c r="D202">
        <f ca="1" t="shared" si="42"/>
        <v>364.52</v>
      </c>
      <c r="E202">
        <f t="shared" si="48"/>
        <v>366.4</v>
      </c>
      <c r="F202" t="str">
        <f ca="1" t="shared" si="43"/>
        <v> Backtrack</v>
      </c>
      <c r="G202" t="str">
        <f ca="1" t="shared" si="44"/>
        <v>Leave Parking Lot turning right on Rt 44 (reverse direction)</v>
      </c>
      <c r="H202" t="e">
        <f t="shared" si="45"/>
        <v>#VALUE!</v>
      </c>
      <c r="I202" t="str">
        <f t="shared" si="46"/>
        <v>Leave Parking Lot turning right on Rt 44 (reverse direction)</v>
      </c>
      <c r="J202">
        <f t="shared" si="47"/>
      </c>
    </row>
    <row r="203" spans="1:10" ht="15">
      <c r="A203">
        <f ca="1" t="shared" si="39"/>
        <v>3</v>
      </c>
      <c r="B203">
        <f ca="1" t="shared" si="40"/>
        <v>55</v>
      </c>
      <c r="C203" t="str">
        <f t="shared" si="41"/>
        <v>Seg3!</v>
      </c>
      <c r="D203">
        <f ca="1" t="shared" si="42"/>
        <v>375.27</v>
      </c>
      <c r="E203">
        <f t="shared" si="48"/>
        <v>377.2</v>
      </c>
      <c r="F203" t="str">
        <f ca="1" t="shared" si="43"/>
        <v> X</v>
      </c>
      <c r="G203" t="str">
        <f ca="1" t="shared" si="44"/>
        <v>Rt 220 overpass</v>
      </c>
      <c r="H203" t="e">
        <f t="shared" si="45"/>
        <v>#VALUE!</v>
      </c>
      <c r="I203" t="str">
        <f t="shared" si="46"/>
        <v>Rt 220 overpass</v>
      </c>
      <c r="J203">
        <f t="shared" si="47"/>
      </c>
    </row>
    <row r="204" spans="1:10" ht="15">
      <c r="A204">
        <f ca="1" t="shared" si="39"/>
        <v>3</v>
      </c>
      <c r="B204">
        <f ca="1" t="shared" si="40"/>
        <v>56</v>
      </c>
      <c r="C204" t="str">
        <f t="shared" si="41"/>
        <v>Seg3!</v>
      </c>
      <c r="D204">
        <f ca="1" t="shared" si="42"/>
        <v>375.46000000000004</v>
      </c>
      <c r="E204">
        <f t="shared" si="48"/>
        <v>377.4</v>
      </c>
      <c r="F204" t="str">
        <f ca="1" t="shared" si="43"/>
        <v> R</v>
      </c>
      <c r="G204" t="str">
        <f ca="1" t="shared" si="44"/>
        <v>(SS) Central Ave {Stores}</v>
      </c>
      <c r="H204">
        <f t="shared" si="45"/>
        <v>18</v>
      </c>
      <c r="I204" t="str">
        <f t="shared" si="46"/>
        <v>(SS) Central Ave </v>
      </c>
      <c r="J204" t="str">
        <f t="shared" si="47"/>
        <v>Stores</v>
      </c>
    </row>
    <row r="205" spans="1:10" ht="15">
      <c r="A205">
        <f ca="1" t="shared" si="39"/>
        <v>3</v>
      </c>
      <c r="B205">
        <f ca="1" t="shared" si="40"/>
        <v>57</v>
      </c>
      <c r="C205" t="str">
        <f t="shared" si="41"/>
        <v>Seg3!</v>
      </c>
      <c r="D205">
        <f ca="1" t="shared" si="42"/>
        <v>376.91999999999996</v>
      </c>
      <c r="E205">
        <f t="shared" si="48"/>
        <v>378.8</v>
      </c>
      <c r="F205" t="str">
        <f ca="1" t="shared" si="43"/>
        <v> B L</v>
      </c>
      <c r="G205" t="str">
        <f ca="1" t="shared" si="44"/>
        <v>FMR TRO (unmarked) Central Ave.."To 150"..jct Rich St</v>
      </c>
      <c r="H205" t="e">
        <f t="shared" si="45"/>
        <v>#VALUE!</v>
      </c>
      <c r="I205" t="str">
        <f t="shared" si="46"/>
        <v>FMR TRO (unmarked) Central Ave.."To 150"..jct Rich St</v>
      </c>
      <c r="J205">
        <f t="shared" si="47"/>
      </c>
    </row>
    <row r="206" spans="1:10" ht="15">
      <c r="A206">
        <f ca="1" t="shared" si="39"/>
        <v>3</v>
      </c>
      <c r="B206">
        <f ca="1" t="shared" si="40"/>
        <v>58</v>
      </c>
      <c r="C206" t="str">
        <f t="shared" si="41"/>
        <v>Seg3!</v>
      </c>
      <c r="D206">
        <f ca="1" t="shared" si="42"/>
        <v>378.28999999999996</v>
      </c>
      <c r="E206">
        <f t="shared" si="48"/>
        <v>380.2</v>
      </c>
      <c r="F206" t="str">
        <f ca="1" t="shared" si="43"/>
        <v> ***L</v>
      </c>
      <c r="G206" t="str">
        <f ca="1" t="shared" si="44"/>
        <v>Island Rd / Rt 1002 (veering off of main road)</v>
      </c>
      <c r="H206" t="e">
        <f t="shared" si="45"/>
        <v>#VALUE!</v>
      </c>
      <c r="I206" t="str">
        <f t="shared" si="46"/>
        <v>Island Rd / Rt 1002 (veering off of main road)</v>
      </c>
      <c r="J206">
        <f t="shared" si="47"/>
      </c>
    </row>
    <row r="207" spans="1:10" ht="15">
      <c r="A207">
        <f ca="1" t="shared" si="39"/>
        <v>3</v>
      </c>
      <c r="B207">
        <f ca="1" t="shared" si="40"/>
        <v>59</v>
      </c>
      <c r="C207" t="str">
        <f t="shared" si="41"/>
        <v>Seg3!</v>
      </c>
      <c r="D207">
        <f ca="1" t="shared" si="42"/>
        <v>383.08</v>
      </c>
      <c r="E207">
        <f t="shared" si="48"/>
        <v>385</v>
      </c>
      <c r="F207" t="str">
        <f ca="1" t="shared" si="43"/>
        <v> X</v>
      </c>
      <c r="G207" t="str">
        <f ca="1" t="shared" si="44"/>
        <v>2nd 'river bridge'..now on E Water St</v>
      </c>
      <c r="H207" t="e">
        <f t="shared" si="45"/>
        <v>#VALUE!</v>
      </c>
      <c r="I207" t="str">
        <f t="shared" si="46"/>
        <v>2nd 'river bridge'..now on E Water St</v>
      </c>
      <c r="J207">
        <f t="shared" si="47"/>
      </c>
    </row>
    <row r="208" spans="1:10" ht="15">
      <c r="A208">
        <f ca="1" t="shared" si="39"/>
        <v>3</v>
      </c>
      <c r="B208">
        <f ca="1" t="shared" si="40"/>
        <v>60</v>
      </c>
      <c r="C208" t="str">
        <f t="shared" si="41"/>
        <v>Seg3!</v>
      </c>
      <c r="D208">
        <f ca="1" t="shared" si="42"/>
        <v>384.51</v>
      </c>
      <c r="E208">
        <f t="shared" si="48"/>
        <v>386.5</v>
      </c>
      <c r="F208" t="str">
        <f ca="1" t="shared" si="43"/>
        <v> X</v>
      </c>
      <c r="G208" t="str">
        <f ca="1" t="shared" si="44"/>
        <v>(SS) Jay St TRO Water St / 120 West [Lock Haven] {Hotel and many services off-course left}</v>
      </c>
      <c r="H208">
        <f t="shared" si="45"/>
        <v>50</v>
      </c>
      <c r="I208" t="str">
        <f t="shared" si="46"/>
        <v>(SS) Jay St TRO Water St / 120 West [Lock Haven] </v>
      </c>
      <c r="J208" t="str">
        <f t="shared" si="47"/>
        <v>Hotel and many services off-course left</v>
      </c>
    </row>
    <row r="209" spans="1:10" ht="15">
      <c r="A209">
        <f ca="1" t="shared" si="39"/>
        <v>3</v>
      </c>
      <c r="B209">
        <f ca="1" t="shared" si="40"/>
        <v>61</v>
      </c>
      <c r="C209" t="str">
        <f t="shared" si="41"/>
        <v>Seg3!</v>
      </c>
      <c r="D209">
        <f ca="1" t="shared" si="42"/>
        <v>385.56</v>
      </c>
      <c r="E209">
        <f t="shared" si="48"/>
        <v>387.5</v>
      </c>
      <c r="F209" t="str">
        <f ca="1" t="shared" si="43"/>
        <v> R</v>
      </c>
      <c r="G209" t="str">
        <f ca="1" t="shared" si="44"/>
        <v>(TFL) TRO Rt 120 / Susquehanna Ave</v>
      </c>
      <c r="H209" t="e">
        <f t="shared" si="45"/>
        <v>#VALUE!</v>
      </c>
      <c r="I209" t="str">
        <f t="shared" si="46"/>
        <v>(TFL) TRO Rt 120 / Susquehanna Ave</v>
      </c>
      <c r="J209">
        <f t="shared" si="47"/>
      </c>
    </row>
    <row r="210" spans="1:10" ht="15">
      <c r="A210">
        <f aca="true" ca="1" t="shared" si="49" ref="A210:A219">IF(INDIRECT($C209&amp;"A"&amp;$B209+1)&lt;&gt;"",A209,A209+1)</f>
        <v>3</v>
      </c>
      <c r="B210">
        <f aca="true" ca="1" t="shared" si="50" ref="B210:B219">IF(INDIRECT($C209&amp;"A"&amp;$B209+1)&lt;&gt;"",B209+1,3)</f>
        <v>62</v>
      </c>
      <c r="C210" t="str">
        <f aca="true" t="shared" si="51" ref="C210:C219">"Seg"&amp;A210&amp;"!"</f>
        <v>Seg3!</v>
      </c>
      <c r="D210">
        <f ca="1" t="shared" si="42"/>
        <v>385.95</v>
      </c>
      <c r="E210">
        <f t="shared" si="48"/>
        <v>387.9</v>
      </c>
      <c r="F210" t="str">
        <f ca="1" t="shared" si="43"/>
        <v> L</v>
      </c>
      <c r="G210" t="str">
        <f ca="1" t="shared" si="44"/>
        <v>Hill St / Lusk Run Rd / Rt 2020..'gas station' on left</v>
      </c>
      <c r="H210" t="e">
        <f t="shared" si="45"/>
        <v>#VALUE!</v>
      </c>
      <c r="I210" t="str">
        <f t="shared" si="46"/>
        <v>Hill St / Lusk Run Rd / Rt 2020..'gas station' on left</v>
      </c>
      <c r="J210">
        <f t="shared" si="47"/>
      </c>
    </row>
    <row r="211" spans="1:10" ht="15">
      <c r="A211">
        <f ca="1" t="shared" si="49"/>
        <v>3</v>
      </c>
      <c r="B211">
        <f ca="1" t="shared" si="50"/>
        <v>63</v>
      </c>
      <c r="C211" t="str">
        <f t="shared" si="51"/>
        <v>Seg3!</v>
      </c>
      <c r="D211">
        <f ca="1" t="shared" si="42"/>
        <v>389.44</v>
      </c>
      <c r="E211">
        <f t="shared" si="48"/>
        <v>391.4</v>
      </c>
      <c r="F211" t="str">
        <f ca="1" t="shared" si="43"/>
        <v> T L</v>
      </c>
      <c r="G211" t="str">
        <f ca="1" t="shared" si="44"/>
        <v>(TFL) Rt 150 North</v>
      </c>
      <c r="H211" t="e">
        <f t="shared" si="45"/>
        <v>#VALUE!</v>
      </c>
      <c r="I211" t="str">
        <f t="shared" si="46"/>
        <v>(TFL) Rt 150 North</v>
      </c>
      <c r="J211">
        <f t="shared" si="47"/>
      </c>
    </row>
    <row r="212" spans="1:10" ht="15">
      <c r="A212">
        <f ca="1" t="shared" si="49"/>
        <v>3</v>
      </c>
      <c r="B212">
        <f ca="1" t="shared" si="50"/>
        <v>64</v>
      </c>
      <c r="C212" t="str">
        <f t="shared" si="51"/>
        <v>Seg3!</v>
      </c>
      <c r="D212">
        <f ca="1" t="shared" si="42"/>
        <v>389.73</v>
      </c>
      <c r="E212">
        <f t="shared" si="48"/>
        <v>391.7</v>
      </c>
      <c r="F212" t="str">
        <f ca="1" t="shared" si="43"/>
        <v> 2nd R</v>
      </c>
      <c r="G212" t="str">
        <f ca="1" t="shared" si="44"/>
        <v>Beech Creek Ave</v>
      </c>
      <c r="H212" t="e">
        <f t="shared" si="45"/>
        <v>#VALUE!</v>
      </c>
      <c r="I212" t="str">
        <f t="shared" si="46"/>
        <v>Beech Creek Ave</v>
      </c>
      <c r="J212">
        <f t="shared" si="47"/>
      </c>
    </row>
    <row r="213" spans="1:10" ht="15">
      <c r="A213">
        <f ca="1" t="shared" si="49"/>
        <v>3</v>
      </c>
      <c r="B213">
        <f ca="1" t="shared" si="50"/>
        <v>65</v>
      </c>
      <c r="C213" t="str">
        <f t="shared" si="51"/>
        <v>Seg3!</v>
      </c>
      <c r="D213">
        <f ca="1" t="shared" si="42"/>
        <v>390.34000000000003</v>
      </c>
      <c r="E213">
        <f t="shared" si="48"/>
        <v>392.3</v>
      </c>
      <c r="F213" t="str">
        <f ca="1" t="shared" si="43"/>
        <v> T R</v>
      </c>
      <c r="G213" t="str">
        <f ca="1" t="shared" si="44"/>
        <v>Rt 64 / Water St [Mill Hall] {stores}</v>
      </c>
      <c r="H213">
        <f t="shared" si="45"/>
        <v>30</v>
      </c>
      <c r="I213" t="str">
        <f t="shared" si="46"/>
        <v>Rt 64 / Water St [Mill Hall] </v>
      </c>
      <c r="J213" t="str">
        <f t="shared" si="47"/>
        <v>stores</v>
      </c>
    </row>
    <row r="214" spans="1:10" ht="15">
      <c r="A214">
        <f ca="1" t="shared" si="49"/>
        <v>3</v>
      </c>
      <c r="B214">
        <f ca="1" t="shared" si="50"/>
        <v>66</v>
      </c>
      <c r="C214" t="str">
        <f t="shared" si="51"/>
        <v>Seg3!</v>
      </c>
      <c r="D214">
        <f ca="1" t="shared" si="42"/>
        <v>390.58</v>
      </c>
      <c r="E214">
        <f t="shared" si="48"/>
        <v>392.6</v>
      </c>
      <c r="F214" t="str">
        <f ca="1" t="shared" si="43"/>
        <v> X</v>
      </c>
      <c r="G214" t="str">
        <f ca="1" t="shared" si="44"/>
        <v>RR Tracks (Caution)</v>
      </c>
      <c r="H214" t="e">
        <f t="shared" si="45"/>
        <v>#VALUE!</v>
      </c>
      <c r="I214" t="str">
        <f t="shared" si="46"/>
        <v>RR Tracks (Caution)</v>
      </c>
      <c r="J214">
        <f t="shared" si="47"/>
      </c>
    </row>
    <row r="215" spans="1:10" ht="15">
      <c r="A215">
        <f ca="1" t="shared" si="49"/>
        <v>3</v>
      </c>
      <c r="B215">
        <f ca="1" t="shared" si="50"/>
        <v>67</v>
      </c>
      <c r="C215" t="str">
        <f t="shared" si="51"/>
        <v>Seg3!</v>
      </c>
      <c r="D215">
        <f ca="1" t="shared" si="42"/>
        <v>392.55</v>
      </c>
      <c r="E215">
        <f t="shared" si="48"/>
        <v>394.5</v>
      </c>
      <c r="F215" t="str">
        <f ca="1" t="shared" si="43"/>
        <v> R</v>
      </c>
      <c r="G215" t="str">
        <f ca="1" t="shared" si="44"/>
        <v>Jacksonvill Rd / Rt 2018</v>
      </c>
      <c r="H215" t="e">
        <f t="shared" si="45"/>
        <v>#VALUE!</v>
      </c>
      <c r="I215" t="str">
        <f t="shared" si="46"/>
        <v>Jacksonvill Rd / Rt 2018</v>
      </c>
      <c r="J215">
        <f t="shared" si="47"/>
      </c>
    </row>
    <row r="216" spans="1:10" ht="15">
      <c r="A216">
        <f ca="1" t="shared" si="49"/>
        <v>3</v>
      </c>
      <c r="B216">
        <f ca="1" t="shared" si="50"/>
        <v>68</v>
      </c>
      <c r="C216" t="str">
        <f t="shared" si="51"/>
        <v>Seg3!</v>
      </c>
      <c r="D216">
        <f ca="1" t="shared" si="42"/>
        <v>395.26</v>
      </c>
      <c r="E216">
        <f t="shared" si="48"/>
        <v>397.3</v>
      </c>
      <c r="F216" t="str">
        <f ca="1" t="shared" si="43"/>
        <v> B R</v>
      </c>
      <c r="G216" t="str">
        <f ca="1" t="shared" si="44"/>
        <v>TRO Jacksonville Rt (Jct. Peach Orchard Rd)</v>
      </c>
      <c r="H216" t="e">
        <f t="shared" si="45"/>
        <v>#VALUE!</v>
      </c>
      <c r="I216" t="str">
        <f t="shared" si="46"/>
        <v>TRO Jacksonville Rt (Jct. Peach Orchard Rd)</v>
      </c>
      <c r="J216">
        <f t="shared" si="47"/>
      </c>
    </row>
    <row r="217" spans="1:10" ht="15">
      <c r="A217">
        <f ca="1" t="shared" si="49"/>
        <v>3</v>
      </c>
      <c r="B217">
        <f ca="1" t="shared" si="50"/>
        <v>69</v>
      </c>
      <c r="C217" t="str">
        <f t="shared" si="51"/>
        <v>Seg3!</v>
      </c>
      <c r="D217">
        <f ca="1" t="shared" si="42"/>
        <v>398.09000000000003</v>
      </c>
      <c r="E217">
        <f t="shared" si="48"/>
        <v>400.1</v>
      </c>
      <c r="F217" t="str">
        <f ca="1" t="shared" si="43"/>
        <v> ***L</v>
      </c>
      <c r="G217" t="str">
        <f ca="1" t="shared" si="44"/>
        <v>Dotterers Rd.."Lamar 3"...on downhill</v>
      </c>
      <c r="H217" t="e">
        <f t="shared" si="45"/>
        <v>#VALUE!</v>
      </c>
      <c r="I217" t="str">
        <f t="shared" si="46"/>
        <v>Dotterers Rd.."Lamar 3"...on downhill</v>
      </c>
      <c r="J217">
        <f t="shared" si="47"/>
      </c>
    </row>
    <row r="218" spans="1:10" ht="15">
      <c r="A218">
        <f ca="1" t="shared" si="49"/>
        <v>3</v>
      </c>
      <c r="B218">
        <f ca="1" t="shared" si="50"/>
        <v>70</v>
      </c>
      <c r="C218" t="str">
        <f t="shared" si="51"/>
        <v>Seg3!</v>
      </c>
      <c r="D218">
        <f ca="1" t="shared" si="42"/>
        <v>400.78999999999996</v>
      </c>
      <c r="E218">
        <f t="shared" si="48"/>
        <v>402.8</v>
      </c>
      <c r="F218" t="str">
        <f ca="1" t="shared" si="43"/>
        <v> STOP</v>
      </c>
      <c r="G218" t="str">
        <f ca="1" t="shared" si="44"/>
        <v>Controle Flying-J Truck stop (driveway on left just before Rt 64 Jct CAUTION: Truck Exit {Truck Stop Restaurant}</v>
      </c>
      <c r="H218">
        <f t="shared" si="45"/>
        <v>90</v>
      </c>
      <c r="I218" t="str">
        <f t="shared" si="46"/>
        <v>Controle Flying-J Truck stop (driveway on left just before Rt 64 Jct CAUTION: Truck Exit </v>
      </c>
      <c r="J218" t="str">
        <f t="shared" si="47"/>
        <v>Truck Stop Restaurant</v>
      </c>
    </row>
    <row r="219" spans="1:10" ht="15">
      <c r="A219">
        <f ca="1" t="shared" si="49"/>
        <v>3</v>
      </c>
      <c r="B219">
        <f ca="1" t="shared" si="50"/>
        <v>71</v>
      </c>
      <c r="C219" t="str">
        <f t="shared" si="51"/>
        <v>Seg3!</v>
      </c>
      <c r="D219">
        <f ca="1" t="shared" si="42"/>
        <v>400.81</v>
      </c>
      <c r="E219">
        <f t="shared" si="48"/>
        <v>402.8</v>
      </c>
      <c r="F219" t="str">
        <f ca="1" t="shared" si="43"/>
        <v> Turn</v>
      </c>
      <c r="G219" t="str">
        <f ca="1" t="shared" si="44"/>
        <v>Leave controle using exit at TFL turning right on Rt 64 south {Limited services ahead}</v>
      </c>
      <c r="H219">
        <f t="shared" si="45"/>
        <v>63</v>
      </c>
      <c r="I219" t="str">
        <f t="shared" si="46"/>
        <v>Leave controle using exit at TFL turning right on Rt 64 south </v>
      </c>
      <c r="J219" t="str">
        <f t="shared" si="47"/>
        <v>Limited services ahead</v>
      </c>
    </row>
    <row r="220" spans="1:10" ht="15">
      <c r="A220">
        <f aca="true" ca="1" t="shared" si="52" ref="A220:A225">IF(INDIRECT($C219&amp;"A"&amp;$B219+1)&lt;&gt;"",A219,A219+1)</f>
        <v>3</v>
      </c>
      <c r="B220">
        <f aca="true" ca="1" t="shared" si="53" ref="B220:B225">IF(INDIRECT($C219&amp;"A"&amp;$B219+1)&lt;&gt;"",B219+1,3)</f>
        <v>72</v>
      </c>
      <c r="C220" t="str">
        <f aca="true" t="shared" si="54" ref="C220:C225">"Seg"&amp;A220&amp;"!"</f>
        <v>Seg3!</v>
      </c>
      <c r="D220">
        <f ca="1" t="shared" si="42"/>
        <v>401.62</v>
      </c>
      <c r="E220">
        <f t="shared" si="48"/>
        <v>403.7</v>
      </c>
      <c r="F220" t="str">
        <f ca="1" t="shared" si="43"/>
        <v> ***L</v>
      </c>
      <c r="G220" t="str">
        <f ca="1" t="shared" si="44"/>
        <v>Silver Ave.."Clintendale"...fire station on right</v>
      </c>
      <c r="H220" t="e">
        <f t="shared" si="45"/>
        <v>#VALUE!</v>
      </c>
      <c r="I220" t="str">
        <f t="shared" si="46"/>
        <v>Silver Ave.."Clintendale"...fire station on right</v>
      </c>
      <c r="J220">
        <f t="shared" si="47"/>
      </c>
    </row>
    <row r="221" spans="1:10" ht="15">
      <c r="A221">
        <f ca="1" t="shared" si="52"/>
        <v>3</v>
      </c>
      <c r="B221">
        <f ca="1" t="shared" si="53"/>
        <v>73</v>
      </c>
      <c r="C221" t="str">
        <f t="shared" si="54"/>
        <v>Seg3!</v>
      </c>
      <c r="D221">
        <f ca="1" t="shared" si="42"/>
        <v>401.91999999999996</v>
      </c>
      <c r="E221">
        <f t="shared" si="48"/>
        <v>404</v>
      </c>
      <c r="F221" t="str">
        <f ca="1" t="shared" si="43"/>
        <v> TR</v>
      </c>
      <c r="G221" t="str">
        <f ca="1" t="shared" si="44"/>
        <v>Furnance Rd</v>
      </c>
      <c r="H221" t="e">
        <f t="shared" si="45"/>
        <v>#VALUE!</v>
      </c>
      <c r="I221" t="str">
        <f t="shared" si="46"/>
        <v>Furnance Rd</v>
      </c>
      <c r="J221">
        <f t="shared" si="47"/>
      </c>
    </row>
    <row r="222" spans="1:10" ht="15">
      <c r="A222">
        <f ca="1" t="shared" si="52"/>
        <v>3</v>
      </c>
      <c r="B222">
        <f ca="1" t="shared" si="53"/>
        <v>74</v>
      </c>
      <c r="C222" t="str">
        <f t="shared" si="54"/>
        <v>Seg3!</v>
      </c>
      <c r="D222">
        <f ca="1" t="shared" si="42"/>
        <v>402.5</v>
      </c>
      <c r="E222">
        <f t="shared" si="48"/>
        <v>404.5</v>
      </c>
      <c r="F222" t="str">
        <f ca="1" t="shared" si="43"/>
        <v> L</v>
      </c>
      <c r="G222" t="str">
        <f ca="1" t="shared" si="44"/>
        <v>(SS) Narrows Rd / Rt 2002 ... "Tylersville 8"</v>
      </c>
      <c r="H222" t="e">
        <f t="shared" si="45"/>
        <v>#VALUE!</v>
      </c>
      <c r="I222" t="str">
        <f t="shared" si="46"/>
        <v>(SS) Narrows Rd / Rt 2002 ... "Tylersville 8"</v>
      </c>
      <c r="J222">
        <f t="shared" si="47"/>
      </c>
    </row>
    <row r="223" spans="1:10" ht="15">
      <c r="A223">
        <f ca="1" t="shared" si="52"/>
        <v>3</v>
      </c>
      <c r="B223">
        <f ca="1" t="shared" si="53"/>
        <v>75</v>
      </c>
      <c r="C223" t="str">
        <f t="shared" si="54"/>
        <v>Seg3!</v>
      </c>
      <c r="D223">
        <f ca="1" t="shared" si="42"/>
        <v>410.16999999999996</v>
      </c>
      <c r="E223">
        <f t="shared" si="48"/>
        <v>412.3</v>
      </c>
      <c r="F223" t="str">
        <f ca="1" t="shared" si="43"/>
        <v> R</v>
      </c>
      <c r="G223" t="str">
        <f ca="1" t="shared" si="44"/>
        <v>Valley Rd / Rt 880 South [Tylersville]..."Rebersburg 4"...880 North DETOUR also goes right here</v>
      </c>
      <c r="H223" t="e">
        <f t="shared" si="45"/>
        <v>#VALUE!</v>
      </c>
      <c r="I223" t="str">
        <f t="shared" si="46"/>
        <v>Valley Rd / Rt 880 South [Tylersville]..."Rebersburg 4"...880 North DETOUR also goes right here</v>
      </c>
      <c r="J223">
        <f t="shared" si="47"/>
      </c>
    </row>
    <row r="224" spans="1:10" ht="15">
      <c r="A224">
        <f ca="1" t="shared" si="52"/>
        <v>3</v>
      </c>
      <c r="B224">
        <f ca="1" t="shared" si="53"/>
        <v>76</v>
      </c>
      <c r="C224" t="str">
        <f t="shared" si="54"/>
        <v>Seg3!</v>
      </c>
      <c r="D224">
        <f ca="1" t="shared" si="42"/>
        <v>410.36</v>
      </c>
      <c r="E224">
        <f t="shared" si="48"/>
        <v>412.4</v>
      </c>
      <c r="F224" t="str">
        <f ca="1" t="shared" si="43"/>
        <v> 1st L</v>
      </c>
      <c r="G224" t="str">
        <f ca="1" t="shared" si="44"/>
        <v>Winter Rd</v>
      </c>
      <c r="H224" t="e">
        <f t="shared" si="45"/>
        <v>#VALUE!</v>
      </c>
      <c r="I224" t="str">
        <f t="shared" si="46"/>
        <v>Winter Rd</v>
      </c>
      <c r="J224">
        <f t="shared" si="47"/>
      </c>
    </row>
    <row r="225" spans="1:10" ht="15">
      <c r="A225">
        <f ca="1" t="shared" si="52"/>
        <v>3</v>
      </c>
      <c r="B225">
        <f ca="1" t="shared" si="53"/>
        <v>77</v>
      </c>
      <c r="C225" t="str">
        <f t="shared" si="54"/>
        <v>Seg3!</v>
      </c>
      <c r="D225">
        <f ca="1" t="shared" si="42"/>
        <v>415.9</v>
      </c>
      <c r="E225">
        <f t="shared" si="48"/>
        <v>418</v>
      </c>
      <c r="F225" t="str">
        <f ca="1" t="shared" si="43"/>
        <v> R</v>
      </c>
      <c r="G225" t="str">
        <f ca="1" t="shared" si="44"/>
        <v>Rt 477 South / Bull Run Rd (don't miss or else you end up on Rt 447 north)</v>
      </c>
      <c r="H225" t="e">
        <f t="shared" si="45"/>
        <v>#VALUE!</v>
      </c>
      <c r="I225" t="str">
        <f t="shared" si="46"/>
        <v>Rt 477 South / Bull Run Rd (don't miss or else you end up on Rt 447 north)</v>
      </c>
      <c r="J225">
        <f t="shared" si="47"/>
      </c>
    </row>
    <row r="226" spans="1:10" ht="15">
      <c r="A226">
        <f aca="true" ca="1" t="shared" si="55" ref="A226:A249">IF(INDIRECT($C225&amp;"A"&amp;$B225+1)&lt;&gt;"",A225,A225+1)</f>
        <v>3</v>
      </c>
      <c r="B226">
        <f aca="true" ca="1" t="shared" si="56" ref="B226:B249">IF(INDIRECT($C225&amp;"A"&amp;$B225+1)&lt;&gt;"",B225+1,3)</f>
        <v>78</v>
      </c>
      <c r="C226" t="str">
        <f aca="true" t="shared" si="57" ref="C226:C249">"Seg"&amp;A226&amp;"!"</f>
        <v>Seg3!</v>
      </c>
      <c r="D226">
        <f ca="1" t="shared" si="42"/>
        <v>419.53</v>
      </c>
      <c r="E226">
        <f t="shared" si="48"/>
        <v>421.7</v>
      </c>
      <c r="F226" t="str">
        <f ca="1" t="shared" si="43"/>
        <v> T L</v>
      </c>
      <c r="G226" t="str">
        <f ca="1" t="shared" si="44"/>
        <v>Rt 192 East</v>
      </c>
      <c r="H226" t="e">
        <f t="shared" si="45"/>
        <v>#VALUE!</v>
      </c>
      <c r="I226" t="str">
        <f t="shared" si="46"/>
        <v>Rt 192 East</v>
      </c>
      <c r="J226">
        <f t="shared" si="47"/>
      </c>
    </row>
    <row r="227" spans="1:10" ht="15">
      <c r="A227">
        <f ca="1" t="shared" si="55"/>
        <v>3</v>
      </c>
      <c r="B227">
        <f ca="1" t="shared" si="56"/>
        <v>79</v>
      </c>
      <c r="C227" t="str">
        <f t="shared" si="57"/>
        <v>Seg3!</v>
      </c>
      <c r="D227">
        <f ca="1" t="shared" si="42"/>
        <v>442.57</v>
      </c>
      <c r="E227">
        <f t="shared" si="48"/>
        <v>444.8</v>
      </c>
      <c r="F227" t="str">
        <f ca="1" t="shared" si="43"/>
        <v> X</v>
      </c>
      <c r="G227" t="str">
        <f ca="1" t="shared" si="44"/>
        <v>Rt 15 (TFL) (now on Buffalo Rd) [Lewisburg]</v>
      </c>
      <c r="H227" t="e">
        <f t="shared" si="45"/>
        <v>#VALUE!</v>
      </c>
      <c r="I227" t="str">
        <f t="shared" si="46"/>
        <v>Rt 15 (TFL) (now on Buffalo Rd) [Lewisburg]</v>
      </c>
      <c r="J227">
        <f t="shared" si="47"/>
      </c>
    </row>
    <row r="228" spans="1:10" ht="15">
      <c r="A228">
        <f ca="1" t="shared" si="55"/>
        <v>3</v>
      </c>
      <c r="B228">
        <f ca="1" t="shared" si="56"/>
        <v>80</v>
      </c>
      <c r="C228" t="str">
        <f t="shared" si="57"/>
        <v>Seg3!</v>
      </c>
      <c r="D228">
        <f ca="1" t="shared" si="42"/>
        <v>442.76</v>
      </c>
      <c r="E228">
        <f t="shared" si="48"/>
        <v>445</v>
      </c>
      <c r="F228" t="str">
        <f ca="1" t="shared" si="43"/>
        <v> BL</v>
      </c>
      <c r="G228" t="str">
        <f ca="1" t="shared" si="44"/>
        <v>(SS) St Anthony St (NOT hard left onto 4th)</v>
      </c>
      <c r="H228" t="e">
        <f t="shared" si="45"/>
        <v>#VALUE!</v>
      </c>
      <c r="I228" t="str">
        <f t="shared" si="46"/>
        <v>(SS) St Anthony St (NOT hard left onto 4th)</v>
      </c>
      <c r="J228">
        <f t="shared" si="47"/>
      </c>
    </row>
    <row r="229" spans="1:10" ht="15">
      <c r="A229">
        <f ca="1" t="shared" si="55"/>
        <v>3</v>
      </c>
      <c r="B229">
        <f ca="1" t="shared" si="56"/>
        <v>81</v>
      </c>
      <c r="C229" t="str">
        <f t="shared" si="57"/>
        <v>Seg3!</v>
      </c>
      <c r="D229">
        <f ca="1" t="shared" si="42"/>
        <v>442.84000000000003</v>
      </c>
      <c r="E229">
        <f t="shared" si="48"/>
        <v>445.1</v>
      </c>
      <c r="F229" t="str">
        <f ca="1" t="shared" si="43"/>
        <v> X</v>
      </c>
      <c r="G229" t="str">
        <f ca="1" t="shared" si="44"/>
        <v>(SS) 3rd St TRO St Anthony b/c River Rd ahead at bend</v>
      </c>
      <c r="H229" t="e">
        <f t="shared" si="45"/>
        <v>#VALUE!</v>
      </c>
      <c r="I229" t="str">
        <f t="shared" si="46"/>
        <v>(SS) 3rd St TRO St Anthony b/c River Rd ahead at bend</v>
      </c>
      <c r="J229">
        <f t="shared" si="47"/>
      </c>
    </row>
    <row r="230" spans="1:10" ht="15">
      <c r="A230">
        <f ca="1" t="shared" si="55"/>
        <v>3</v>
      </c>
      <c r="B230">
        <f ca="1" t="shared" si="56"/>
        <v>82</v>
      </c>
      <c r="C230" t="str">
        <f t="shared" si="57"/>
        <v>Seg3!</v>
      </c>
      <c r="D230">
        <f ca="1" t="shared" si="42"/>
        <v>443.91999999999996</v>
      </c>
      <c r="E230">
        <f t="shared" si="48"/>
        <v>446.2</v>
      </c>
      <c r="F230" t="str">
        <f ca="1" t="shared" si="43"/>
        <v> X</v>
      </c>
      <c r="G230" t="str">
        <f ca="1" t="shared" si="44"/>
        <v>(TFL) Rt 15 now on Hospital Dr</v>
      </c>
      <c r="H230" t="e">
        <f t="shared" si="45"/>
        <v>#VALUE!</v>
      </c>
      <c r="I230" t="str">
        <f t="shared" si="46"/>
        <v>(TFL) Rt 15 now on Hospital Dr</v>
      </c>
      <c r="J230">
        <f t="shared" si="47"/>
      </c>
    </row>
    <row r="231" spans="1:10" ht="15">
      <c r="A231">
        <f ca="1" t="shared" si="55"/>
        <v>3</v>
      </c>
      <c r="B231">
        <f ca="1" t="shared" si="56"/>
        <v>83</v>
      </c>
      <c r="C231" t="str">
        <f t="shared" si="57"/>
        <v>Seg3!</v>
      </c>
      <c r="D231">
        <f ca="1" t="shared" si="42"/>
        <v>444.09000000000003</v>
      </c>
      <c r="E231">
        <f t="shared" si="48"/>
        <v>446.4</v>
      </c>
      <c r="F231" t="str">
        <f ca="1" t="shared" si="43"/>
        <v> 1st R</v>
      </c>
      <c r="G231" t="str">
        <f ca="1" t="shared" si="44"/>
        <v>Walter Dr</v>
      </c>
      <c r="H231" t="e">
        <f t="shared" si="45"/>
        <v>#VALUE!</v>
      </c>
      <c r="I231" t="str">
        <f t="shared" si="46"/>
        <v>Walter Dr</v>
      </c>
      <c r="J231">
        <f t="shared" si="47"/>
      </c>
    </row>
    <row r="232" spans="1:10" ht="15">
      <c r="A232">
        <f ca="1" t="shared" si="55"/>
        <v>3</v>
      </c>
      <c r="B232">
        <f ca="1" t="shared" si="56"/>
        <v>84</v>
      </c>
      <c r="C232" t="str">
        <f t="shared" si="57"/>
        <v>Seg3!</v>
      </c>
      <c r="D232">
        <f ca="1" t="shared" si="42"/>
        <v>444.2</v>
      </c>
      <c r="E232">
        <f t="shared" si="48"/>
        <v>446.5</v>
      </c>
      <c r="F232" t="str">
        <f ca="1" t="shared" si="43"/>
        <v> STOP</v>
      </c>
      <c r="G232" t="str">
        <f ca="1" t="shared" si="44"/>
        <v>Controle Country Inn &amp; Suites on left {Restaurant Fast Food}</v>
      </c>
      <c r="H232">
        <f t="shared" si="45"/>
        <v>39</v>
      </c>
      <c r="I232" t="str">
        <f t="shared" si="46"/>
        <v>Controle Country Inn &amp; Suites on left </v>
      </c>
      <c r="J232" t="str">
        <f t="shared" si="47"/>
        <v>Restaurant Fast Food</v>
      </c>
    </row>
    <row r="233" spans="1:10" ht="15">
      <c r="A233">
        <f ca="1" t="shared" si="55"/>
        <v>4</v>
      </c>
      <c r="B233">
        <f ca="1" t="shared" si="56"/>
        <v>3</v>
      </c>
      <c r="C233" t="str">
        <f t="shared" si="57"/>
        <v>Seg4!</v>
      </c>
      <c r="D233">
        <f ca="1" t="shared" si="42"/>
        <v>444.22999999999996</v>
      </c>
      <c r="E233">
        <f t="shared" si="48"/>
        <v>446.5</v>
      </c>
      <c r="F233" t="str">
        <f ca="1" t="shared" si="43"/>
        <v> Backtrack</v>
      </c>
      <c r="G233" t="str">
        <f ca="1" t="shared" si="44"/>
        <v>Leave hotel parking lot turning right on Walter Dr</v>
      </c>
      <c r="H233" t="e">
        <f t="shared" si="45"/>
        <v>#VALUE!</v>
      </c>
      <c r="I233" t="str">
        <f t="shared" si="46"/>
        <v>Leave hotel parking lot turning right on Walter Dr</v>
      </c>
      <c r="J233">
        <f t="shared" si="47"/>
      </c>
    </row>
    <row r="234" spans="1:10" ht="15">
      <c r="A234">
        <f ca="1" t="shared" si="55"/>
        <v>4</v>
      </c>
      <c r="B234">
        <f ca="1" t="shared" si="56"/>
        <v>4</v>
      </c>
      <c r="C234" t="str">
        <f t="shared" si="57"/>
        <v>Seg4!</v>
      </c>
      <c r="D234">
        <f ca="1" t="shared" si="42"/>
        <v>444.34</v>
      </c>
      <c r="E234">
        <f t="shared" si="48"/>
        <v>446.6</v>
      </c>
      <c r="F234" t="str">
        <f ca="1" t="shared" si="43"/>
        <v> 1st R</v>
      </c>
      <c r="G234" t="str">
        <f ca="1" t="shared" si="44"/>
        <v>(SS) (unmarked) Hospital Dr</v>
      </c>
      <c r="H234" t="e">
        <f t="shared" si="45"/>
        <v>#VALUE!</v>
      </c>
      <c r="I234" t="str">
        <f t="shared" si="46"/>
        <v>(SS) (unmarked) Hospital Dr</v>
      </c>
      <c r="J234">
        <f t="shared" si="47"/>
      </c>
    </row>
    <row r="235" spans="1:10" ht="15">
      <c r="A235">
        <f ca="1" t="shared" si="55"/>
        <v>4</v>
      </c>
      <c r="B235">
        <f ca="1" t="shared" si="56"/>
        <v>5</v>
      </c>
      <c r="C235" t="str">
        <f t="shared" si="57"/>
        <v>Seg4!</v>
      </c>
      <c r="D235">
        <f ca="1" t="shared" si="42"/>
        <v>444.49</v>
      </c>
      <c r="E235">
        <f t="shared" si="48"/>
        <v>446.8</v>
      </c>
      <c r="F235" t="str">
        <f ca="1" t="shared" si="43"/>
        <v> 1st L</v>
      </c>
      <c r="G235" t="str">
        <f ca="1" t="shared" si="44"/>
        <v>(SS) JPM Rd / Rt 1007</v>
      </c>
      <c r="H235" t="e">
        <f t="shared" si="45"/>
        <v>#VALUE!</v>
      </c>
      <c r="I235" t="str">
        <f t="shared" si="46"/>
        <v>(SS) JPM Rd / Rt 1007</v>
      </c>
      <c r="J235">
        <f t="shared" si="47"/>
      </c>
    </row>
    <row r="236" spans="1:10" ht="15">
      <c r="A236">
        <f ca="1" t="shared" si="55"/>
        <v>4</v>
      </c>
      <c r="B236">
        <f ca="1" t="shared" si="56"/>
        <v>6</v>
      </c>
      <c r="C236" t="str">
        <f t="shared" si="57"/>
        <v>Seg4!</v>
      </c>
      <c r="D236">
        <f ca="1" t="shared" si="42"/>
        <v>445.15</v>
      </c>
      <c r="E236">
        <f t="shared" si="48"/>
        <v>447.4</v>
      </c>
      <c r="F236" t="str">
        <f ca="1" t="shared" si="43"/>
        <v> T R</v>
      </c>
      <c r="G236" t="str">
        <f ca="1" t="shared" si="44"/>
        <v>(SS) William Penn Dr / Rt 1018</v>
      </c>
      <c r="H236" t="e">
        <f t="shared" si="45"/>
        <v>#VALUE!</v>
      </c>
      <c r="I236" t="str">
        <f t="shared" si="46"/>
        <v>(SS) William Penn Dr / Rt 1018</v>
      </c>
      <c r="J236">
        <f t="shared" si="47"/>
      </c>
    </row>
    <row r="237" spans="1:10" ht="15">
      <c r="A237">
        <f ca="1" t="shared" si="55"/>
        <v>4</v>
      </c>
      <c r="B237">
        <f ca="1" t="shared" si="56"/>
        <v>7</v>
      </c>
      <c r="C237" t="str">
        <f t="shared" si="57"/>
        <v>Seg4!</v>
      </c>
      <c r="D237">
        <f ca="1" t="shared" si="42"/>
        <v>445.67</v>
      </c>
      <c r="E237">
        <f t="shared" si="48"/>
        <v>447.9</v>
      </c>
      <c r="F237" t="str">
        <f ca="1" t="shared" si="43"/>
        <v> 1st L</v>
      </c>
      <c r="G237" t="str">
        <f ca="1" t="shared" si="44"/>
        <v>Airport Rd / Rt 2007</v>
      </c>
      <c r="H237" t="e">
        <f t="shared" si="45"/>
        <v>#VALUE!</v>
      </c>
      <c r="I237" t="str">
        <f t="shared" si="46"/>
        <v>Airport Rd / Rt 2007</v>
      </c>
      <c r="J237">
        <f t="shared" si="47"/>
      </c>
    </row>
    <row r="238" spans="1:10" ht="15">
      <c r="A238">
        <f ca="1" t="shared" si="55"/>
        <v>4</v>
      </c>
      <c r="B238">
        <f ca="1" t="shared" si="56"/>
        <v>8</v>
      </c>
      <c r="C238" t="str">
        <f t="shared" si="57"/>
        <v>Seg4!</v>
      </c>
      <c r="D238">
        <f ca="1" t="shared" si="42"/>
        <v>445.8</v>
      </c>
      <c r="E238">
        <f t="shared" si="48"/>
        <v>448.1</v>
      </c>
      <c r="F238" t="str">
        <f ca="1" t="shared" si="43"/>
        <v> 1st BL</v>
      </c>
      <c r="G238" t="str">
        <f ca="1" t="shared" si="44"/>
        <v>TRO Airport Rd / Rt 2007</v>
      </c>
      <c r="H238" t="e">
        <f t="shared" si="45"/>
        <v>#VALUE!</v>
      </c>
      <c r="I238" t="str">
        <f t="shared" si="46"/>
        <v>TRO Airport Rd / Rt 2007</v>
      </c>
      <c r="J238">
        <f t="shared" si="47"/>
      </c>
    </row>
    <row r="239" spans="1:10" ht="15">
      <c r="A239">
        <f ca="1" t="shared" si="55"/>
        <v>4</v>
      </c>
      <c r="B239">
        <f ca="1" t="shared" si="56"/>
        <v>9</v>
      </c>
      <c r="C239" t="str">
        <f t="shared" si="57"/>
        <v>Seg4!</v>
      </c>
      <c r="D239">
        <f ca="1" t="shared" si="42"/>
        <v>446.06</v>
      </c>
      <c r="E239">
        <f t="shared" si="48"/>
        <v>448.3</v>
      </c>
      <c r="F239" t="str">
        <f ca="1" t="shared" si="43"/>
        <v> R</v>
      </c>
      <c r="G239" t="str">
        <f ca="1" t="shared" si="44"/>
        <v>(SS) Buffalo Rd / Rt 192</v>
      </c>
      <c r="H239" t="e">
        <f t="shared" si="45"/>
        <v>#VALUE!</v>
      </c>
      <c r="I239" t="str">
        <f t="shared" si="46"/>
        <v>(SS) Buffalo Rd / Rt 192</v>
      </c>
      <c r="J239">
        <f t="shared" si="47"/>
      </c>
    </row>
    <row r="240" spans="1:10" ht="15">
      <c r="A240">
        <f ca="1" t="shared" si="55"/>
        <v>4</v>
      </c>
      <c r="B240">
        <f ca="1" t="shared" si="56"/>
        <v>10</v>
      </c>
      <c r="C240" t="str">
        <f t="shared" si="57"/>
        <v>Seg4!</v>
      </c>
      <c r="D240">
        <f ca="1" t="shared" si="42"/>
        <v>446.2</v>
      </c>
      <c r="E240">
        <f t="shared" si="48"/>
        <v>448.5</v>
      </c>
      <c r="F240" t="str">
        <f ca="1" t="shared" si="43"/>
        <v> 1st L</v>
      </c>
      <c r="G240" t="str">
        <f ca="1" t="shared" si="44"/>
        <v>(TFL) Fairground Rd / Rt 2007</v>
      </c>
      <c r="H240" t="e">
        <f t="shared" si="45"/>
        <v>#VALUE!</v>
      </c>
      <c r="I240" t="str">
        <f t="shared" si="46"/>
        <v>(TFL) Fairground Rd / Rt 2007</v>
      </c>
      <c r="J240">
        <f t="shared" si="47"/>
      </c>
    </row>
    <row r="241" spans="1:10" ht="15">
      <c r="A241">
        <f ca="1" t="shared" si="55"/>
        <v>4</v>
      </c>
      <c r="B241">
        <f ca="1" t="shared" si="56"/>
        <v>11</v>
      </c>
      <c r="C241" t="str">
        <f t="shared" si="57"/>
        <v>Seg4!</v>
      </c>
      <c r="D241">
        <f ca="1" t="shared" si="42"/>
        <v>446.9</v>
      </c>
      <c r="E241">
        <f t="shared" si="48"/>
        <v>449.2</v>
      </c>
      <c r="F241" t="str">
        <f ca="1" t="shared" si="43"/>
        <v> X</v>
      </c>
      <c r="G241" t="str">
        <f ca="1" t="shared" si="44"/>
        <v>(TFL) Rt 45 TRO Fairground Rd / Rt 2007 {MiniMart}</v>
      </c>
      <c r="H241">
        <f t="shared" si="45"/>
        <v>41</v>
      </c>
      <c r="I241" t="str">
        <f t="shared" si="46"/>
        <v>(TFL) Rt 45 TRO Fairground Rd / Rt 2007 </v>
      </c>
      <c r="J241" t="str">
        <f t="shared" si="47"/>
        <v>MiniMart</v>
      </c>
    </row>
    <row r="242" spans="1:10" ht="15">
      <c r="A242">
        <f ca="1" t="shared" si="55"/>
        <v>4</v>
      </c>
      <c r="B242">
        <f ca="1" t="shared" si="56"/>
        <v>12</v>
      </c>
      <c r="C242" t="str">
        <f t="shared" si="57"/>
        <v>Seg4!</v>
      </c>
      <c r="D242">
        <f ca="1" t="shared" si="42"/>
        <v>447.26</v>
      </c>
      <c r="E242">
        <f t="shared" si="48"/>
        <v>449.5</v>
      </c>
      <c r="F242" t="str">
        <f ca="1" t="shared" si="43"/>
        <v> 1st R</v>
      </c>
      <c r="G242" t="str">
        <f ca="1" t="shared" si="44"/>
        <v>Smoketown Rd / Rt 2007</v>
      </c>
      <c r="H242" t="e">
        <f t="shared" si="45"/>
        <v>#VALUE!</v>
      </c>
      <c r="I242" t="str">
        <f t="shared" si="46"/>
        <v>Smoketown Rd / Rt 2007</v>
      </c>
      <c r="J242">
        <f t="shared" si="47"/>
      </c>
    </row>
    <row r="243" spans="1:10" ht="15">
      <c r="A243">
        <f ca="1" t="shared" si="55"/>
        <v>4</v>
      </c>
      <c r="B243">
        <f ca="1" t="shared" si="56"/>
        <v>13</v>
      </c>
      <c r="C243" t="str">
        <f t="shared" si="57"/>
        <v>Seg4!</v>
      </c>
      <c r="D243">
        <f ca="1" t="shared" si="42"/>
        <v>449.19</v>
      </c>
      <c r="E243">
        <f t="shared" si="48"/>
        <v>451.5</v>
      </c>
      <c r="F243" t="str">
        <f ca="1" t="shared" si="43"/>
        <v> X</v>
      </c>
      <c r="G243" t="str">
        <f ca="1" t="shared" si="44"/>
        <v>(SS) Salem Church Rd / Rt 2005 (Now on Pheasant Ridge Rd)</v>
      </c>
      <c r="H243" t="e">
        <f t="shared" si="45"/>
        <v>#VALUE!</v>
      </c>
      <c r="I243" t="str">
        <f t="shared" si="46"/>
        <v>(SS) Salem Church Rd / Rt 2005 (Now on Pheasant Ridge Rd)</v>
      </c>
      <c r="J243">
        <f t="shared" si="47"/>
      </c>
    </row>
    <row r="244" spans="1:10" ht="15">
      <c r="A244">
        <f ca="1" t="shared" si="55"/>
        <v>4</v>
      </c>
      <c r="B244">
        <f ca="1" t="shared" si="56"/>
        <v>14</v>
      </c>
      <c r="C244" t="str">
        <f t="shared" si="57"/>
        <v>Seg4!</v>
      </c>
      <c r="D244">
        <f ca="1" t="shared" si="42"/>
        <v>450.86</v>
      </c>
      <c r="E244">
        <f t="shared" si="48"/>
        <v>453.2</v>
      </c>
      <c r="F244" t="str">
        <f ca="1" t="shared" si="43"/>
        <v> T L</v>
      </c>
      <c r="G244" t="str">
        <f ca="1" t="shared" si="44"/>
        <v>(SS) (unmarked) Dreisbach Church Rd / Rt 2003 (b/c New Berlin Mountain Rd)</v>
      </c>
      <c r="H244" t="e">
        <f t="shared" si="45"/>
        <v>#VALUE!</v>
      </c>
      <c r="I244" t="str">
        <f t="shared" si="46"/>
        <v>(SS) (unmarked) Dreisbach Church Rd / Rt 2003 (b/c New Berlin Mountain Rd)</v>
      </c>
      <c r="J244">
        <f t="shared" si="47"/>
      </c>
    </row>
    <row r="245" spans="1:10" ht="15">
      <c r="A245">
        <f ca="1" t="shared" si="55"/>
        <v>4</v>
      </c>
      <c r="B245">
        <f ca="1" t="shared" si="56"/>
        <v>15</v>
      </c>
      <c r="C245" t="str">
        <f t="shared" si="57"/>
        <v>Seg4!</v>
      </c>
      <c r="D245">
        <f ca="1" t="shared" si="42"/>
        <v>454.78999999999996</v>
      </c>
      <c r="E245">
        <f t="shared" si="48"/>
        <v>457.1</v>
      </c>
      <c r="F245" t="str">
        <f ca="1" t="shared" si="43"/>
        <v> X</v>
      </c>
      <c r="G245" t="str">
        <f ca="1" t="shared" si="44"/>
        <v>(SS) Rt 304 (now on Vine St / Rt 2003) [New Berlin] {Pizzeria}</v>
      </c>
      <c r="H245">
        <f t="shared" si="45"/>
        <v>53</v>
      </c>
      <c r="I245" t="str">
        <f t="shared" si="46"/>
        <v>(SS) Rt 304 (now on Vine St / Rt 2003) [New Berlin] </v>
      </c>
      <c r="J245" t="str">
        <f t="shared" si="47"/>
        <v>Pizzeria</v>
      </c>
    </row>
    <row r="246" spans="1:10" ht="15">
      <c r="A246">
        <f ca="1" t="shared" si="55"/>
        <v>4</v>
      </c>
      <c r="B246">
        <f ca="1" t="shared" si="56"/>
        <v>16</v>
      </c>
      <c r="C246" t="str">
        <f t="shared" si="57"/>
        <v>Seg4!</v>
      </c>
      <c r="D246">
        <f ca="1" t="shared" si="42"/>
        <v>455.07</v>
      </c>
      <c r="E246">
        <f t="shared" si="48"/>
        <v>457.4</v>
      </c>
      <c r="F246" t="str">
        <f ca="1" t="shared" si="43"/>
        <v> T R</v>
      </c>
      <c r="G246" t="str">
        <f ca="1" t="shared" si="44"/>
        <v>(SS) (unmarked) New Berlin Hwy / Rt 1005 ..Jct Rt 204</v>
      </c>
      <c r="H246" t="e">
        <f t="shared" si="45"/>
        <v>#VALUE!</v>
      </c>
      <c r="I246" t="str">
        <f t="shared" si="46"/>
        <v>(SS) (unmarked) New Berlin Hwy / Rt 1005 ..Jct Rt 204</v>
      </c>
      <c r="J246">
        <f t="shared" si="47"/>
      </c>
    </row>
    <row r="247" spans="1:10" ht="15">
      <c r="A247">
        <f ca="1" t="shared" si="55"/>
        <v>4</v>
      </c>
      <c r="B247">
        <f ca="1" t="shared" si="56"/>
        <v>17</v>
      </c>
      <c r="C247" t="str">
        <f t="shared" si="57"/>
        <v>Seg4!</v>
      </c>
      <c r="D247">
        <f ca="1" t="shared" si="42"/>
        <v>455.59999999999997</v>
      </c>
      <c r="E247">
        <f t="shared" si="48"/>
        <v>457.9</v>
      </c>
      <c r="F247" t="str">
        <f ca="1" t="shared" si="43"/>
        <v> BR</v>
      </c>
      <c r="G247" t="str">
        <f ca="1" t="shared" si="44"/>
        <v>(SS) FMR TRO New Berlin Hwy / Rt 1005</v>
      </c>
      <c r="H247" t="e">
        <f t="shared" si="45"/>
        <v>#VALUE!</v>
      </c>
      <c r="I247" t="str">
        <f t="shared" si="46"/>
        <v>(SS) FMR TRO New Berlin Hwy / Rt 1005</v>
      </c>
      <c r="J247">
        <f t="shared" si="47"/>
      </c>
    </row>
    <row r="248" spans="1:10" ht="15">
      <c r="A248">
        <f ca="1" t="shared" si="55"/>
        <v>4</v>
      </c>
      <c r="B248">
        <f ca="1" t="shared" si="56"/>
        <v>18</v>
      </c>
      <c r="C248" t="str">
        <f t="shared" si="57"/>
        <v>Seg4!</v>
      </c>
      <c r="D248">
        <f ca="1" t="shared" si="42"/>
        <v>462.24</v>
      </c>
      <c r="E248">
        <f t="shared" si="48"/>
        <v>464.6</v>
      </c>
      <c r="F248" t="str">
        <f ca="1" t="shared" si="43"/>
        <v> T L</v>
      </c>
      <c r="G248" t="str">
        <f ca="1" t="shared" si="44"/>
        <v>(SS) Rt 104 / E. Main St</v>
      </c>
      <c r="H248" t="e">
        <f t="shared" si="45"/>
        <v>#VALUE!</v>
      </c>
      <c r="I248" t="str">
        <f t="shared" si="46"/>
        <v>(SS) Rt 104 / E. Main St</v>
      </c>
      <c r="J248">
        <f t="shared" si="47"/>
      </c>
    </row>
    <row r="249" spans="1:10" ht="15">
      <c r="A249">
        <f ca="1" t="shared" si="55"/>
        <v>4</v>
      </c>
      <c r="B249">
        <f ca="1" t="shared" si="56"/>
        <v>19</v>
      </c>
      <c r="C249" t="str">
        <f t="shared" si="57"/>
        <v>Seg4!</v>
      </c>
      <c r="D249">
        <f ca="1" t="shared" si="42"/>
        <v>462.78999999999996</v>
      </c>
      <c r="E249">
        <f t="shared" si="48"/>
        <v>465.1</v>
      </c>
      <c r="F249" t="str">
        <f ca="1" t="shared" si="43"/>
        <v> R</v>
      </c>
      <c r="G249" t="str">
        <f ca="1" t="shared" si="44"/>
        <v>TRO Rt 104 (Rt 522 continues straight) (limited services ahead) {MiniMart}</v>
      </c>
      <c r="H249">
        <f t="shared" si="45"/>
        <v>65</v>
      </c>
      <c r="I249" t="str">
        <f t="shared" si="46"/>
        <v>TRO Rt 104 (Rt 522 continues straight) (limited services ahead) </v>
      </c>
      <c r="J249" t="str">
        <f t="shared" si="47"/>
        <v>MiniMart</v>
      </c>
    </row>
    <row r="250" spans="1:10" ht="15">
      <c r="A250">
        <f aca="true" ca="1" t="shared" si="58" ref="A250:A313">IF(INDIRECT($C249&amp;"A"&amp;$B249+1)&lt;&gt;"",A249,A249+1)</f>
        <v>4</v>
      </c>
      <c r="B250">
        <f aca="true" ca="1" t="shared" si="59" ref="B250:B313">IF(INDIRECT($C249&amp;"A"&amp;$B249+1)&lt;&gt;"",B249+1,3)</f>
        <v>20</v>
      </c>
      <c r="C250" t="str">
        <f aca="true" t="shared" si="60" ref="C250:C313">"Seg"&amp;A250&amp;"!"</f>
        <v>Seg4!</v>
      </c>
      <c r="D250">
        <f ca="1" t="shared" si="42"/>
        <v>467.63</v>
      </c>
      <c r="E250">
        <f t="shared" si="48"/>
        <v>470</v>
      </c>
      <c r="F250" t="str">
        <f ca="1" t="shared" si="43"/>
        <v> ***R</v>
      </c>
      <c r="G250" t="str">
        <f ca="1" t="shared" si="44"/>
        <v>Heister Valley Rd / Rt 3006 after climb look for mulch bins on left {cafe off-course ahead Jct 35}</v>
      </c>
      <c r="H250">
        <f t="shared" si="45"/>
        <v>69</v>
      </c>
      <c r="I250" t="str">
        <f t="shared" si="46"/>
        <v>Heister Valley Rd / Rt 3006 after climb look for mulch bins on left </v>
      </c>
      <c r="J250" t="str">
        <f t="shared" si="47"/>
        <v>cafe off-course ahead Jct 35</v>
      </c>
    </row>
    <row r="251" spans="1:10" ht="15">
      <c r="A251">
        <f ca="1" t="shared" si="58"/>
        <v>4</v>
      </c>
      <c r="B251">
        <f ca="1" t="shared" si="59"/>
        <v>21</v>
      </c>
      <c r="C251" t="str">
        <f t="shared" si="60"/>
        <v>Seg4!</v>
      </c>
      <c r="D251">
        <f ca="1" t="shared" si="42"/>
        <v>473.94</v>
      </c>
      <c r="E251">
        <f t="shared" si="48"/>
        <v>476.4</v>
      </c>
      <c r="F251" t="str">
        <f ca="1" t="shared" si="43"/>
        <v> ***R</v>
      </c>
      <c r="G251" t="str">
        <f ca="1" t="shared" si="44"/>
        <v>Mountain Rd / Rt 3006</v>
      </c>
      <c r="H251" t="e">
        <f t="shared" si="45"/>
        <v>#VALUE!</v>
      </c>
      <c r="I251" t="str">
        <f t="shared" si="46"/>
        <v>Mountain Rd / Rt 3006</v>
      </c>
      <c r="J251">
        <f t="shared" si="47"/>
      </c>
    </row>
    <row r="252" spans="1:10" ht="15">
      <c r="A252">
        <f ca="1" t="shared" si="58"/>
        <v>4</v>
      </c>
      <c r="B252">
        <f ca="1" t="shared" si="59"/>
        <v>22</v>
      </c>
      <c r="C252" t="str">
        <f t="shared" si="60"/>
        <v>Seg4!</v>
      </c>
      <c r="D252">
        <f ca="1" t="shared" si="42"/>
        <v>476.51</v>
      </c>
      <c r="E252">
        <f t="shared" si="48"/>
        <v>478.9</v>
      </c>
      <c r="F252" t="str">
        <f ca="1" t="shared" si="43"/>
        <v> Straight</v>
      </c>
      <c r="G252" t="str">
        <f ca="1" t="shared" si="44"/>
        <v>(SS) (unmarked) TRO Mountain Rd / Rt 3006 (Middle Rd goes left here)</v>
      </c>
      <c r="H252" t="e">
        <f t="shared" si="45"/>
        <v>#VALUE!</v>
      </c>
      <c r="I252" t="str">
        <f t="shared" si="46"/>
        <v>(SS) (unmarked) TRO Mountain Rd / Rt 3006 (Middle Rd goes left here)</v>
      </c>
      <c r="J252">
        <f t="shared" si="47"/>
      </c>
    </row>
    <row r="253" spans="1:10" ht="15">
      <c r="A253">
        <f ca="1" t="shared" si="58"/>
        <v>4</v>
      </c>
      <c r="B253">
        <f ca="1" t="shared" si="59"/>
        <v>23</v>
      </c>
      <c r="C253" t="str">
        <f t="shared" si="60"/>
        <v>Seg4!</v>
      </c>
      <c r="D253">
        <f ca="1" t="shared" si="42"/>
        <v>477.45</v>
      </c>
      <c r="E253">
        <f t="shared" si="48"/>
        <v>479.9</v>
      </c>
      <c r="F253" t="str">
        <f ca="1" t="shared" si="43"/>
        <v> ***R</v>
      </c>
      <c r="G253" t="str">
        <f ca="1" t="shared" si="44"/>
        <v>TRO Mountain Rd</v>
      </c>
      <c r="H253" t="e">
        <f t="shared" si="45"/>
        <v>#VALUE!</v>
      </c>
      <c r="I253" t="str">
        <f t="shared" si="46"/>
        <v>TRO Mountain Rd</v>
      </c>
      <c r="J253">
        <f t="shared" si="47"/>
      </c>
    </row>
    <row r="254" spans="1:10" ht="15">
      <c r="A254">
        <f ca="1" t="shared" si="58"/>
        <v>4</v>
      </c>
      <c r="B254">
        <f ca="1" t="shared" si="59"/>
        <v>24</v>
      </c>
      <c r="C254" t="str">
        <f t="shared" si="60"/>
        <v>Seg4!</v>
      </c>
      <c r="D254">
        <f ca="1" t="shared" si="42"/>
        <v>478.43</v>
      </c>
      <c r="E254">
        <f t="shared" si="48"/>
        <v>480.9</v>
      </c>
      <c r="F254" t="str">
        <f ca="1" t="shared" si="43"/>
        <v> B R</v>
      </c>
      <c r="G254" t="str">
        <f ca="1" t="shared" si="44"/>
        <v>(unmarked) Red Bank Rd ("Vineland Kosher" on left)</v>
      </c>
      <c r="H254" t="e">
        <f t="shared" si="45"/>
        <v>#VALUE!</v>
      </c>
      <c r="I254" t="str">
        <f t="shared" si="46"/>
        <v>(unmarked) Red Bank Rd ("Vineland Kosher" on left)</v>
      </c>
      <c r="J254">
        <f t="shared" si="47"/>
      </c>
    </row>
    <row r="255" spans="1:10" ht="15">
      <c r="A255">
        <f ca="1" t="shared" si="58"/>
        <v>4</v>
      </c>
      <c r="B255">
        <f ca="1" t="shared" si="59"/>
        <v>25</v>
      </c>
      <c r="C255" t="str">
        <f t="shared" si="60"/>
        <v>Seg4!</v>
      </c>
      <c r="D255">
        <f ca="1" t="shared" si="42"/>
        <v>479.03</v>
      </c>
      <c r="E255">
        <f t="shared" si="48"/>
        <v>481.5</v>
      </c>
      <c r="F255" t="str">
        <f ca="1" t="shared" si="43"/>
        <v> T R</v>
      </c>
      <c r="G255" t="str">
        <f ca="1" t="shared" si="44"/>
        <v>TRO Red Bank Rd  (Apple Rd goes left)</v>
      </c>
      <c r="H255" t="e">
        <f t="shared" si="45"/>
        <v>#VALUE!</v>
      </c>
      <c r="I255" t="str">
        <f t="shared" si="46"/>
        <v>TRO Red Bank Rd  (Apple Rd goes left)</v>
      </c>
      <c r="J255">
        <f t="shared" si="47"/>
      </c>
    </row>
    <row r="256" spans="1:10" ht="15">
      <c r="A256">
        <f ca="1" t="shared" si="58"/>
        <v>4</v>
      </c>
      <c r="B256">
        <f ca="1" t="shared" si="59"/>
        <v>26</v>
      </c>
      <c r="C256" t="str">
        <f t="shared" si="60"/>
        <v>Seg4!</v>
      </c>
      <c r="D256">
        <f ca="1" t="shared" si="42"/>
        <v>479.95</v>
      </c>
      <c r="E256">
        <f t="shared" si="48"/>
        <v>482.4</v>
      </c>
      <c r="F256" t="str">
        <f ca="1" t="shared" si="43"/>
        <v> T R</v>
      </c>
      <c r="G256" t="str">
        <f ca="1" t="shared" si="44"/>
        <v>TRO Red Bank Rd / Rt 543</v>
      </c>
      <c r="H256" t="e">
        <f t="shared" si="45"/>
        <v>#VALUE!</v>
      </c>
      <c r="I256" t="str">
        <f t="shared" si="46"/>
        <v>TRO Red Bank Rd / Rt 543</v>
      </c>
      <c r="J256">
        <f t="shared" si="47"/>
      </c>
    </row>
    <row r="257" spans="1:10" ht="15">
      <c r="A257">
        <f ca="1" t="shared" si="58"/>
        <v>4</v>
      </c>
      <c r="B257">
        <f ca="1" t="shared" si="59"/>
        <v>27</v>
      </c>
      <c r="C257" t="str">
        <f t="shared" si="60"/>
        <v>Seg4!</v>
      </c>
      <c r="D257">
        <f ca="1" t="shared" si="42"/>
        <v>480.8</v>
      </c>
      <c r="E257">
        <f t="shared" si="48"/>
        <v>483.3</v>
      </c>
      <c r="F257" t="str">
        <f ca="1" t="shared" si="43"/>
        <v> T L</v>
      </c>
      <c r="G257" t="str">
        <f ca="1" t="shared" si="44"/>
        <v>Foundary Rd</v>
      </c>
      <c r="H257" t="e">
        <f t="shared" si="45"/>
        <v>#VALUE!</v>
      </c>
      <c r="I257" t="str">
        <f t="shared" si="46"/>
        <v>Foundary Rd</v>
      </c>
      <c r="J257">
        <f t="shared" si="47"/>
      </c>
    </row>
    <row r="258" spans="1:10" ht="15">
      <c r="A258">
        <f ca="1" t="shared" si="58"/>
        <v>4</v>
      </c>
      <c r="B258">
        <f ca="1" t="shared" si="59"/>
        <v>28</v>
      </c>
      <c r="C258" t="str">
        <f t="shared" si="60"/>
        <v>Seg4!</v>
      </c>
      <c r="D258">
        <f ca="1" t="shared" si="42"/>
        <v>480.94</v>
      </c>
      <c r="E258">
        <f t="shared" si="48"/>
        <v>483.4</v>
      </c>
      <c r="F258" t="str">
        <f ca="1" t="shared" si="43"/>
        <v> 1st R</v>
      </c>
      <c r="G258" t="str">
        <f ca="1" t="shared" si="44"/>
        <v>Jamison Rd</v>
      </c>
      <c r="H258" t="e">
        <f t="shared" si="45"/>
        <v>#VALUE!</v>
      </c>
      <c r="I258" t="str">
        <f t="shared" si="46"/>
        <v>Jamison Rd</v>
      </c>
      <c r="J258">
        <f t="shared" si="47"/>
      </c>
    </row>
    <row r="259" spans="1:10" ht="15">
      <c r="A259">
        <f ca="1" t="shared" si="58"/>
        <v>4</v>
      </c>
      <c r="B259">
        <f ca="1" t="shared" si="59"/>
        <v>29</v>
      </c>
      <c r="C259" t="str">
        <f t="shared" si="60"/>
        <v>Seg4!</v>
      </c>
      <c r="D259">
        <f ca="1" t="shared" si="61" ref="D259:D322">INDIRECT($C259&amp;"L"&amp;$B259)</f>
        <v>481.71999999999997</v>
      </c>
      <c r="E259">
        <f t="shared" si="48"/>
        <v>484.2</v>
      </c>
      <c r="F259" t="str">
        <f ca="1" t="shared" si="62" ref="F259:F322">INDIRECT($C259&amp;"M"&amp;$B259)</f>
        <v> T R</v>
      </c>
      <c r="G259" t="str">
        <f ca="1" t="shared" si="63" ref="G259:G322">INDIRECT($C259&amp;"A"&amp;$B259)</f>
        <v>Bunkertown Rd</v>
      </c>
      <c r="H259" t="e">
        <f aca="true" t="shared" si="64" ref="H259:H322">FIND("{",G259)</f>
        <v>#VALUE!</v>
      </c>
      <c r="I259" t="str">
        <f aca="true" t="shared" si="65" ref="I259:I322">IF(ISNUMBER(H259),LEFT(G259,H259-1),G259)</f>
        <v>Bunkertown Rd</v>
      </c>
      <c r="J259">
        <f aca="true" t="shared" si="66" ref="J259:J322">IF(ISNUMBER(H259),MID(G259,H259+1,LEN(G259)-H259-1),"")</f>
      </c>
    </row>
    <row r="260" spans="1:10" ht="15">
      <c r="A260">
        <f ca="1" t="shared" si="58"/>
        <v>4</v>
      </c>
      <c r="B260">
        <f ca="1" t="shared" si="59"/>
        <v>30</v>
      </c>
      <c r="C260" t="str">
        <f t="shared" si="60"/>
        <v>Seg4!</v>
      </c>
      <c r="D260">
        <f ca="1" t="shared" si="61"/>
        <v>481.83</v>
      </c>
      <c r="E260">
        <f aca="true" t="shared" si="67" ref="E260:E323">TRUNC(D260*$J$1,1)</f>
        <v>484.3</v>
      </c>
      <c r="F260" t="str">
        <f ca="1" t="shared" si="62"/>
        <v> 1st BL</v>
      </c>
      <c r="G260" t="str">
        <f ca="1" t="shared" si="63"/>
        <v>Fairview Rd</v>
      </c>
      <c r="H260" t="e">
        <f t="shared" si="64"/>
        <v>#VALUE!</v>
      </c>
      <c r="I260" t="str">
        <f t="shared" si="65"/>
        <v>Fairview Rd</v>
      </c>
      <c r="J260">
        <f t="shared" si="66"/>
      </c>
    </row>
    <row r="261" spans="1:10" ht="15">
      <c r="A261">
        <f ca="1" t="shared" si="58"/>
        <v>4</v>
      </c>
      <c r="B261">
        <f ca="1" t="shared" si="59"/>
        <v>31</v>
      </c>
      <c r="C261" t="str">
        <f t="shared" si="60"/>
        <v>Seg4!</v>
      </c>
      <c r="D261">
        <f ca="1" t="shared" si="61"/>
        <v>483.93</v>
      </c>
      <c r="E261">
        <f t="shared" si="67"/>
        <v>486.4</v>
      </c>
      <c r="F261" t="str">
        <f ca="1" t="shared" si="62"/>
        <v> X</v>
      </c>
      <c r="G261" t="str">
        <f ca="1" t="shared" si="63"/>
        <v>(SS) Rt 235 TRO Fairview Rd</v>
      </c>
      <c r="H261" t="e">
        <f t="shared" si="64"/>
        <v>#VALUE!</v>
      </c>
      <c r="I261" t="str">
        <f t="shared" si="65"/>
        <v>(SS) Rt 235 TRO Fairview Rd</v>
      </c>
      <c r="J261">
        <f t="shared" si="66"/>
      </c>
    </row>
    <row r="262" spans="1:10" ht="15">
      <c r="A262">
        <f ca="1" t="shared" si="58"/>
        <v>4</v>
      </c>
      <c r="B262">
        <f ca="1" t="shared" si="59"/>
        <v>32</v>
      </c>
      <c r="C262" t="str">
        <f t="shared" si="60"/>
        <v>Seg4!</v>
      </c>
      <c r="D262">
        <f ca="1" t="shared" si="61"/>
        <v>484.8</v>
      </c>
      <c r="E262">
        <f t="shared" si="67"/>
        <v>487.3</v>
      </c>
      <c r="F262" t="str">
        <f ca="1" t="shared" si="62"/>
        <v> T L</v>
      </c>
      <c r="G262" t="str">
        <f ca="1" t="shared" si="63"/>
        <v>(unmarked) Rt 1003</v>
      </c>
      <c r="H262" t="e">
        <f t="shared" si="64"/>
        <v>#VALUE!</v>
      </c>
      <c r="I262" t="str">
        <f t="shared" si="65"/>
        <v>(unmarked) Rt 1003</v>
      </c>
      <c r="J262">
        <f t="shared" si="66"/>
      </c>
    </row>
    <row r="263" spans="1:10" ht="15">
      <c r="A263">
        <f ca="1" t="shared" si="58"/>
        <v>4</v>
      </c>
      <c r="B263">
        <f ca="1" t="shared" si="59"/>
        <v>33</v>
      </c>
      <c r="C263" t="str">
        <f t="shared" si="60"/>
        <v>Seg4!</v>
      </c>
      <c r="D263">
        <f ca="1" t="shared" si="61"/>
        <v>485.44</v>
      </c>
      <c r="E263">
        <f t="shared" si="67"/>
        <v>487.9</v>
      </c>
      <c r="F263" t="str">
        <f ca="1" t="shared" si="62"/>
        <v> R</v>
      </c>
      <c r="G263" t="str">
        <f ca="1" t="shared" si="63"/>
        <v>Sunset Dr</v>
      </c>
      <c r="H263" t="e">
        <f t="shared" si="64"/>
        <v>#VALUE!</v>
      </c>
      <c r="I263" t="str">
        <f t="shared" si="65"/>
        <v>Sunset Dr</v>
      </c>
      <c r="J263">
        <f t="shared" si="66"/>
      </c>
    </row>
    <row r="264" spans="1:10" ht="15">
      <c r="A264">
        <f ca="1" t="shared" si="58"/>
        <v>4</v>
      </c>
      <c r="B264">
        <f ca="1" t="shared" si="59"/>
        <v>34</v>
      </c>
      <c r="C264" t="str">
        <f t="shared" si="60"/>
        <v>Seg4!</v>
      </c>
      <c r="D264">
        <f ca="1" t="shared" si="61"/>
        <v>486.62</v>
      </c>
      <c r="E264">
        <f t="shared" si="67"/>
        <v>489.1</v>
      </c>
      <c r="F264" t="str">
        <f ca="1" t="shared" si="62"/>
        <v> TL + QR</v>
      </c>
      <c r="G264" t="str">
        <f ca="1" t="shared" si="63"/>
        <v>TRO Sunset Dr / Rt 535 (crossing Oakland Rd)</v>
      </c>
      <c r="H264" t="e">
        <f t="shared" si="64"/>
        <v>#VALUE!</v>
      </c>
      <c r="I264" t="str">
        <f t="shared" si="65"/>
        <v>TRO Sunset Dr / Rt 535 (crossing Oakland Rd)</v>
      </c>
      <c r="J264">
        <f t="shared" si="66"/>
      </c>
    </row>
    <row r="265" spans="1:10" ht="15">
      <c r="A265">
        <f ca="1" t="shared" si="58"/>
        <v>4</v>
      </c>
      <c r="B265">
        <f ca="1" t="shared" si="59"/>
        <v>35</v>
      </c>
      <c r="C265" t="str">
        <f t="shared" si="60"/>
        <v>Seg4!</v>
      </c>
      <c r="D265">
        <f ca="1" t="shared" si="61"/>
        <v>487.21</v>
      </c>
      <c r="E265">
        <f t="shared" si="67"/>
        <v>489.7</v>
      </c>
      <c r="F265" t="str">
        <f ca="1" t="shared" si="62"/>
        <v> T L</v>
      </c>
      <c r="G265" t="str">
        <f ca="1" t="shared" si="63"/>
        <v>Billyville Rd</v>
      </c>
      <c r="H265" t="e">
        <f t="shared" si="64"/>
        <v>#VALUE!</v>
      </c>
      <c r="I265" t="str">
        <f t="shared" si="65"/>
        <v>Billyville Rd</v>
      </c>
      <c r="J265">
        <f t="shared" si="66"/>
      </c>
    </row>
    <row r="266" spans="1:10" ht="15">
      <c r="A266">
        <f ca="1" t="shared" si="58"/>
        <v>4</v>
      </c>
      <c r="B266">
        <f ca="1" t="shared" si="59"/>
        <v>36</v>
      </c>
      <c r="C266" t="str">
        <f t="shared" si="60"/>
        <v>Seg4!</v>
      </c>
      <c r="D266">
        <f ca="1" t="shared" si="61"/>
        <v>487.77</v>
      </c>
      <c r="E266">
        <f t="shared" si="67"/>
        <v>490.3</v>
      </c>
      <c r="F266" t="str">
        <f ca="1" t="shared" si="62"/>
        <v> TL + QR</v>
      </c>
      <c r="G266" t="str">
        <f ca="1" t="shared" si="63"/>
        <v>Jericho Rd (crossing Rt 1002)</v>
      </c>
      <c r="H266" t="e">
        <f t="shared" si="64"/>
        <v>#VALUE!</v>
      </c>
      <c r="I266" t="str">
        <f t="shared" si="65"/>
        <v>Jericho Rd (crossing Rt 1002)</v>
      </c>
      <c r="J266">
        <f t="shared" si="66"/>
      </c>
    </row>
    <row r="267" spans="1:10" ht="15">
      <c r="A267">
        <f ca="1" t="shared" si="58"/>
        <v>4</v>
      </c>
      <c r="B267">
        <f ca="1" t="shared" si="59"/>
        <v>37</v>
      </c>
      <c r="C267" t="str">
        <f t="shared" si="60"/>
        <v>Seg4!</v>
      </c>
      <c r="D267">
        <f ca="1" t="shared" si="61"/>
        <v>489.83</v>
      </c>
      <c r="E267">
        <f t="shared" si="67"/>
        <v>492.3</v>
      </c>
      <c r="F267" t="str">
        <f ca="1" t="shared" si="62"/>
        <v> T R</v>
      </c>
      <c r="G267" t="str">
        <f ca="1" t="shared" si="63"/>
        <v>Rt 35 / Washington Ave "Country Side Market" on right</v>
      </c>
      <c r="H267" t="e">
        <f t="shared" si="64"/>
        <v>#VALUE!</v>
      </c>
      <c r="I267" t="str">
        <f t="shared" si="65"/>
        <v>Rt 35 / Washington Ave "Country Side Market" on right</v>
      </c>
      <c r="J267">
        <f t="shared" si="66"/>
      </c>
    </row>
    <row r="268" spans="1:10" ht="15">
      <c r="A268">
        <f ca="1" t="shared" si="58"/>
        <v>4</v>
      </c>
      <c r="B268">
        <f ca="1" t="shared" si="59"/>
        <v>38</v>
      </c>
      <c r="C268" t="str">
        <f t="shared" si="60"/>
        <v>Seg4!</v>
      </c>
      <c r="D268">
        <f ca="1" t="shared" si="61"/>
        <v>491.23</v>
      </c>
      <c r="E268">
        <f t="shared" si="67"/>
        <v>493.7</v>
      </c>
      <c r="F268" t="str">
        <f ca="1" t="shared" si="62"/>
        <v> X</v>
      </c>
      <c r="G268" t="str">
        <f ca="1" t="shared" si="63"/>
        <v>Rt 22 underpass</v>
      </c>
      <c r="H268" t="e">
        <f t="shared" si="64"/>
        <v>#VALUE!</v>
      </c>
      <c r="I268" t="str">
        <f t="shared" si="65"/>
        <v>Rt 22 underpass</v>
      </c>
      <c r="J268">
        <f t="shared" si="66"/>
      </c>
    </row>
    <row r="269" spans="1:10" ht="15">
      <c r="A269">
        <f ca="1" t="shared" si="58"/>
        <v>4</v>
      </c>
      <c r="B269">
        <f ca="1" t="shared" si="59"/>
        <v>39</v>
      </c>
      <c r="C269" t="str">
        <f t="shared" si="60"/>
        <v>Seg4!</v>
      </c>
      <c r="D269">
        <f ca="1" t="shared" si="61"/>
        <v>491.53</v>
      </c>
      <c r="E269">
        <f t="shared" si="67"/>
        <v>494</v>
      </c>
      <c r="F269" t="str">
        <f ca="1" t="shared" si="62"/>
        <v> STOP </v>
      </c>
      <c r="G269" t="str">
        <f ca="1" t="shared" si="63"/>
        <v>Controle Mifflintown Plaza on left (Tom's mini mart in plaza) {MiniMart Restaurant FastFood Hotel}</v>
      </c>
      <c r="H269">
        <f t="shared" si="64"/>
        <v>63</v>
      </c>
      <c r="I269" t="str">
        <f t="shared" si="65"/>
        <v>Controle Mifflintown Plaza on left (Tom's mini mart in plaza) </v>
      </c>
      <c r="J269" t="str">
        <f t="shared" si="66"/>
        <v>MiniMart Restaurant FastFood Hotel</v>
      </c>
    </row>
    <row r="270" spans="1:10" ht="15">
      <c r="A270">
        <f ca="1" t="shared" si="58"/>
        <v>4</v>
      </c>
      <c r="B270">
        <f ca="1" t="shared" si="59"/>
        <v>40</v>
      </c>
      <c r="C270" t="str">
        <f t="shared" si="60"/>
        <v>Seg4!</v>
      </c>
      <c r="D270">
        <f ca="1" t="shared" si="61"/>
        <v>491.53999999999996</v>
      </c>
      <c r="E270">
        <f t="shared" si="67"/>
        <v>494</v>
      </c>
      <c r="F270" t="str">
        <f ca="1" t="shared" si="62"/>
        <v> Continue</v>
      </c>
      <c r="G270" t="str">
        <f ca="1" t="shared" si="63"/>
        <v>Leave controle turning left on Rt 35 out of driveway {Limited services ahead}</v>
      </c>
      <c r="H270">
        <f t="shared" si="64"/>
        <v>54</v>
      </c>
      <c r="I270" t="str">
        <f t="shared" si="65"/>
        <v>Leave controle turning left on Rt 35 out of driveway </v>
      </c>
      <c r="J270" t="str">
        <f t="shared" si="66"/>
        <v>Limited services ahead</v>
      </c>
    </row>
    <row r="271" spans="1:10" ht="15">
      <c r="A271">
        <f ca="1" t="shared" si="58"/>
        <v>4</v>
      </c>
      <c r="B271">
        <f ca="1" t="shared" si="59"/>
        <v>41</v>
      </c>
      <c r="C271" t="str">
        <f t="shared" si="60"/>
        <v>Seg4!</v>
      </c>
      <c r="D271">
        <f ca="1" t="shared" si="61"/>
        <v>492.75</v>
      </c>
      <c r="E271">
        <f t="shared" si="67"/>
        <v>495.3</v>
      </c>
      <c r="F271" t="str">
        <f ca="1" t="shared" si="62"/>
        <v> L</v>
      </c>
      <c r="G271" t="str">
        <f ca="1" t="shared" si="63"/>
        <v>(TFL) TRO Rt 35 / Main St [Mifflintown]</v>
      </c>
      <c r="H271" t="e">
        <f t="shared" si="64"/>
        <v>#VALUE!</v>
      </c>
      <c r="I271" t="str">
        <f t="shared" si="65"/>
        <v>(TFL) TRO Rt 35 / Main St [Mifflintown]</v>
      </c>
      <c r="J271">
        <f t="shared" si="66"/>
      </c>
    </row>
    <row r="272" spans="1:10" ht="15">
      <c r="A272">
        <f ca="1" t="shared" si="58"/>
        <v>4</v>
      </c>
      <c r="B272">
        <f ca="1" t="shared" si="59"/>
        <v>42</v>
      </c>
      <c r="C272" t="str">
        <f t="shared" si="60"/>
        <v>Seg4!</v>
      </c>
      <c r="D272">
        <f ca="1" t="shared" si="61"/>
        <v>492.99</v>
      </c>
      <c r="E272">
        <f t="shared" si="67"/>
        <v>495.5</v>
      </c>
      <c r="F272" t="str">
        <f ca="1" t="shared" si="62"/>
        <v> R</v>
      </c>
      <c r="G272" t="str">
        <f ca="1" t="shared" si="63"/>
        <v>TRO Rt 35 at traffic circle</v>
      </c>
      <c r="H272" t="e">
        <f t="shared" si="64"/>
        <v>#VALUE!</v>
      </c>
      <c r="I272" t="str">
        <f t="shared" si="65"/>
        <v>TRO Rt 35 at traffic circle</v>
      </c>
      <c r="J272">
        <f t="shared" si="66"/>
      </c>
    </row>
    <row r="273" spans="1:10" ht="15">
      <c r="A273">
        <f ca="1" t="shared" si="58"/>
        <v>4</v>
      </c>
      <c r="B273">
        <f ca="1" t="shared" si="59"/>
        <v>43</v>
      </c>
      <c r="C273" t="str">
        <f t="shared" si="60"/>
        <v>Seg4!</v>
      </c>
      <c r="D273">
        <f ca="1" t="shared" si="61"/>
        <v>493.15</v>
      </c>
      <c r="E273">
        <f t="shared" si="67"/>
        <v>495.7</v>
      </c>
      <c r="F273" t="str">
        <f ca="1" t="shared" si="62"/>
        <v> X</v>
      </c>
      <c r="G273" t="str">
        <f ca="1" t="shared" si="63"/>
        <v>Juniata River bridge</v>
      </c>
      <c r="H273" t="e">
        <f t="shared" si="64"/>
        <v>#VALUE!</v>
      </c>
      <c r="I273" t="str">
        <f t="shared" si="65"/>
        <v>Juniata River bridge</v>
      </c>
      <c r="J273">
        <f t="shared" si="66"/>
      </c>
    </row>
    <row r="274" spans="1:10" ht="15">
      <c r="A274">
        <f ca="1" t="shared" si="58"/>
        <v>4</v>
      </c>
      <c r="B274">
        <f ca="1" t="shared" si="59"/>
        <v>44</v>
      </c>
      <c r="C274" t="str">
        <f t="shared" si="60"/>
        <v>Seg4!</v>
      </c>
      <c r="D274">
        <f ca="1" t="shared" si="61"/>
        <v>493.41999999999996</v>
      </c>
      <c r="E274">
        <f t="shared" si="67"/>
        <v>495.9</v>
      </c>
      <c r="F274" t="str">
        <f ca="1" t="shared" si="62"/>
        <v> R</v>
      </c>
      <c r="G274" t="str">
        <f ca="1" t="shared" si="63"/>
        <v>Rt 333 West (Limited services ahead) {MiniMart}</v>
      </c>
      <c r="H274">
        <f t="shared" si="64"/>
        <v>38</v>
      </c>
      <c r="I274" t="str">
        <f t="shared" si="65"/>
        <v>Rt 333 West (Limited services ahead) </v>
      </c>
      <c r="J274" t="str">
        <f t="shared" si="66"/>
        <v>MiniMart</v>
      </c>
    </row>
    <row r="275" spans="1:10" ht="15">
      <c r="A275">
        <f ca="1" t="shared" si="58"/>
        <v>4</v>
      </c>
      <c r="B275">
        <f ca="1" t="shared" si="59"/>
        <v>45</v>
      </c>
      <c r="C275" t="str">
        <f t="shared" si="60"/>
        <v>Seg4!</v>
      </c>
      <c r="D275">
        <f ca="1" t="shared" si="61"/>
        <v>493.71999999999997</v>
      </c>
      <c r="E275">
        <f t="shared" si="67"/>
        <v>496.2</v>
      </c>
      <c r="F275" t="str">
        <f ca="1" t="shared" si="62"/>
        <v> BL</v>
      </c>
      <c r="G275" t="str">
        <f ca="1" t="shared" si="63"/>
        <v>FMR TRO Rt 333 / Licking St ('no trucks' sign)</v>
      </c>
      <c r="H275" t="e">
        <f t="shared" si="64"/>
        <v>#VALUE!</v>
      </c>
      <c r="I275" t="str">
        <f t="shared" si="65"/>
        <v>FMR TRO Rt 333 / Licking St ('no trucks' sign)</v>
      </c>
      <c r="J275">
        <f t="shared" si="66"/>
      </c>
    </row>
    <row r="276" spans="1:10" ht="15">
      <c r="A276">
        <f ca="1" t="shared" si="58"/>
        <v>4</v>
      </c>
      <c r="B276">
        <f ca="1" t="shared" si="59"/>
        <v>46</v>
      </c>
      <c r="C276" t="str">
        <f t="shared" si="60"/>
        <v>Seg4!</v>
      </c>
      <c r="D276">
        <f ca="1" t="shared" si="61"/>
        <v>493.78</v>
      </c>
      <c r="E276">
        <f t="shared" si="67"/>
        <v>496.3</v>
      </c>
      <c r="F276" t="str">
        <f ca="1" t="shared" si="62"/>
        <v> QR</v>
      </c>
      <c r="G276" t="str">
        <f ca="1" t="shared" si="63"/>
        <v>TRO Rt 333 / Foster St</v>
      </c>
      <c r="H276" t="e">
        <f t="shared" si="64"/>
        <v>#VALUE!</v>
      </c>
      <c r="I276" t="str">
        <f t="shared" si="65"/>
        <v>TRO Rt 333 / Foster St</v>
      </c>
      <c r="J276">
        <f t="shared" si="66"/>
      </c>
    </row>
    <row r="277" spans="1:10" ht="15">
      <c r="A277">
        <f ca="1" t="shared" si="58"/>
        <v>4</v>
      </c>
      <c r="B277">
        <f ca="1" t="shared" si="59"/>
        <v>47</v>
      </c>
      <c r="C277" t="str">
        <f t="shared" si="60"/>
        <v>Seg4!</v>
      </c>
      <c r="D277">
        <f ca="1" t="shared" si="61"/>
        <v>506.12</v>
      </c>
      <c r="E277">
        <f t="shared" si="67"/>
        <v>508.7</v>
      </c>
      <c r="F277" t="str">
        <f ca="1" t="shared" si="62"/>
        <v> sharp L</v>
      </c>
      <c r="G277" t="str">
        <f ca="1" t="shared" si="63"/>
        <v>(SS) Rt 103 South</v>
      </c>
      <c r="H277" t="e">
        <f t="shared" si="64"/>
        <v>#VALUE!</v>
      </c>
      <c r="I277" t="str">
        <f t="shared" si="65"/>
        <v>(SS) Rt 103 South</v>
      </c>
      <c r="J277">
        <f t="shared" si="66"/>
      </c>
    </row>
    <row r="278" spans="1:10" ht="15">
      <c r="A278">
        <f ca="1" t="shared" si="58"/>
        <v>4</v>
      </c>
      <c r="B278">
        <f ca="1" t="shared" si="59"/>
        <v>48</v>
      </c>
      <c r="C278" t="str">
        <f t="shared" si="60"/>
        <v>Seg4!</v>
      </c>
      <c r="D278">
        <f ca="1" t="shared" si="61"/>
        <v>516.6899999999999</v>
      </c>
      <c r="E278">
        <f t="shared" si="67"/>
        <v>519.3</v>
      </c>
      <c r="F278" t="str">
        <f ca="1" t="shared" si="62"/>
        <v> ***BL</v>
      </c>
      <c r="G278" t="str">
        <f ca="1" t="shared" si="63"/>
        <v>(unmarked) Pleasant View Rd (LMR at right bend - just past "Matt's Excavation" on left)</v>
      </c>
      <c r="H278" t="e">
        <f t="shared" si="64"/>
        <v>#VALUE!</v>
      </c>
      <c r="I278" t="str">
        <f t="shared" si="65"/>
        <v>(unmarked) Pleasant View Rd (LMR at right bend - just past "Matt's Excavation" on left)</v>
      </c>
      <c r="J278">
        <f t="shared" si="66"/>
      </c>
    </row>
    <row r="279" spans="1:10" ht="15">
      <c r="A279">
        <f ca="1" t="shared" si="58"/>
        <v>4</v>
      </c>
      <c r="B279">
        <f ca="1" t="shared" si="59"/>
        <v>49</v>
      </c>
      <c r="C279" t="str">
        <f t="shared" si="60"/>
        <v>Seg4!</v>
      </c>
      <c r="D279">
        <f ca="1" t="shared" si="61"/>
        <v>517.41</v>
      </c>
      <c r="E279">
        <f t="shared" si="67"/>
        <v>520.1</v>
      </c>
      <c r="F279" t="str">
        <f ca="1" t="shared" si="62"/>
        <v> T L</v>
      </c>
      <c r="G279" t="str">
        <f ca="1" t="shared" si="63"/>
        <v>(SS) Rt 103</v>
      </c>
      <c r="H279" t="e">
        <f t="shared" si="64"/>
        <v>#VALUE!</v>
      </c>
      <c r="I279" t="str">
        <f t="shared" si="65"/>
        <v>(SS) Rt 103</v>
      </c>
      <c r="J279">
        <f t="shared" si="66"/>
      </c>
    </row>
    <row r="280" spans="1:10" ht="15">
      <c r="A280">
        <f ca="1" t="shared" si="58"/>
        <v>4</v>
      </c>
      <c r="B280">
        <f ca="1" t="shared" si="59"/>
        <v>50</v>
      </c>
      <c r="C280" t="str">
        <f t="shared" si="60"/>
        <v>Seg4!</v>
      </c>
      <c r="D280">
        <f ca="1" t="shared" si="61"/>
        <v>527.46</v>
      </c>
      <c r="E280">
        <f t="shared" si="67"/>
        <v>530.2</v>
      </c>
      <c r="F280" t="str">
        <f ca="1" t="shared" si="62"/>
        <v> R</v>
      </c>
      <c r="G280" t="str">
        <f ca="1" t="shared" si="63"/>
        <v>Rt 3021 / Bridge St (look for bridge crossing Juniata River to Newton Hamilton)</v>
      </c>
      <c r="H280" t="e">
        <f t="shared" si="64"/>
        <v>#VALUE!</v>
      </c>
      <c r="I280" t="str">
        <f t="shared" si="65"/>
        <v>Rt 3021 / Bridge St (look for bridge crossing Juniata River to Newton Hamilton)</v>
      </c>
      <c r="J280">
        <f t="shared" si="66"/>
      </c>
    </row>
    <row r="281" spans="1:10" ht="15">
      <c r="A281">
        <f ca="1" t="shared" si="58"/>
        <v>4</v>
      </c>
      <c r="B281">
        <f ca="1" t="shared" si="59"/>
        <v>51</v>
      </c>
      <c r="C281" t="str">
        <f t="shared" si="60"/>
        <v>Seg4!</v>
      </c>
      <c r="D281">
        <f ca="1" t="shared" si="61"/>
        <v>527.62</v>
      </c>
      <c r="E281">
        <f t="shared" si="67"/>
        <v>530.3</v>
      </c>
      <c r="F281" t="str">
        <f ca="1" t="shared" si="62"/>
        <v> 1st L</v>
      </c>
      <c r="G281" t="str">
        <f ca="1" t="shared" si="63"/>
        <v>(SS) Water St b/c Fergunson Valley Rd / Rt 3017 {Store}</v>
      </c>
      <c r="H281">
        <f t="shared" si="64"/>
        <v>49</v>
      </c>
      <c r="I281" t="str">
        <f t="shared" si="65"/>
        <v>(SS) Water St b/c Fergunson Valley Rd / Rt 3017 </v>
      </c>
      <c r="J281" t="str">
        <f t="shared" si="66"/>
        <v>Store</v>
      </c>
    </row>
    <row r="282" spans="1:10" ht="15">
      <c r="A282">
        <f ca="1" t="shared" si="58"/>
        <v>4</v>
      </c>
      <c r="B282">
        <f ca="1" t="shared" si="59"/>
        <v>52</v>
      </c>
      <c r="C282" t="str">
        <f t="shared" si="60"/>
        <v>Seg4!</v>
      </c>
      <c r="D282">
        <f ca="1" t="shared" si="61"/>
        <v>529.24</v>
      </c>
      <c r="E282">
        <f t="shared" si="67"/>
        <v>531.9</v>
      </c>
      <c r="F282" t="str">
        <f ca="1" t="shared" si="62"/>
        <v> R</v>
      </c>
      <c r="G282" t="str">
        <f ca="1" t="shared" si="63"/>
        <v>Country Club Rd (dirt road goes straight) b/c Kistler Rd ahead </v>
      </c>
      <c r="H282" t="e">
        <f t="shared" si="64"/>
        <v>#VALUE!</v>
      </c>
      <c r="I282" t="str">
        <f t="shared" si="65"/>
        <v>Country Club Rd (dirt road goes straight) b/c Kistler Rd ahead </v>
      </c>
      <c r="J282">
        <f t="shared" si="66"/>
      </c>
    </row>
    <row r="283" spans="1:10" ht="15">
      <c r="A283">
        <f ca="1" t="shared" si="58"/>
        <v>4</v>
      </c>
      <c r="B283">
        <f ca="1" t="shared" si="59"/>
        <v>53</v>
      </c>
      <c r="C283" t="str">
        <f t="shared" si="60"/>
        <v>Seg4!</v>
      </c>
      <c r="D283">
        <f ca="1" t="shared" si="61"/>
        <v>530.5699999999999</v>
      </c>
      <c r="E283">
        <f t="shared" si="67"/>
        <v>533.3</v>
      </c>
      <c r="F283" t="str">
        <f ca="1" t="shared" si="62"/>
        <v> X</v>
      </c>
      <c r="G283" t="str">
        <f ca="1" t="shared" si="63"/>
        <v>Juniata River bridge</v>
      </c>
      <c r="H283" t="e">
        <f t="shared" si="64"/>
        <v>#VALUE!</v>
      </c>
      <c r="I283" t="str">
        <f t="shared" si="65"/>
        <v>Juniata River bridge</v>
      </c>
      <c r="J283">
        <f t="shared" si="66"/>
      </c>
    </row>
    <row r="284" spans="1:10" ht="15">
      <c r="A284">
        <f ca="1" t="shared" si="58"/>
        <v>4</v>
      </c>
      <c r="B284">
        <f ca="1" t="shared" si="59"/>
        <v>54</v>
      </c>
      <c r="C284" t="str">
        <f t="shared" si="60"/>
        <v>Seg4!</v>
      </c>
      <c r="D284">
        <f ca="1" t="shared" si="61"/>
        <v>530.9399999999999</v>
      </c>
      <c r="E284">
        <f t="shared" si="67"/>
        <v>533.7</v>
      </c>
      <c r="F284" t="str">
        <f ca="1" t="shared" si="62"/>
        <v> Straight</v>
      </c>
      <c r="G284" t="str">
        <f ca="1" t="shared" si="63"/>
        <v>(SS) Joining E Pennsylvania Ave (and becomes narrow one-way lane)</v>
      </c>
      <c r="H284" t="e">
        <f t="shared" si="64"/>
        <v>#VALUE!</v>
      </c>
      <c r="I284" t="str">
        <f t="shared" si="65"/>
        <v>(SS) Joining E Pennsylvania Ave (and becomes narrow one-way lane)</v>
      </c>
      <c r="J284">
        <f t="shared" si="66"/>
      </c>
    </row>
    <row r="285" spans="1:10" ht="15">
      <c r="A285">
        <f ca="1" t="shared" si="58"/>
        <v>4</v>
      </c>
      <c r="B285">
        <f ca="1" t="shared" si="59"/>
        <v>55</v>
      </c>
      <c r="C285" t="str">
        <f t="shared" si="60"/>
        <v>Seg4!</v>
      </c>
      <c r="D285">
        <f ca="1" t="shared" si="61"/>
        <v>531.2</v>
      </c>
      <c r="E285">
        <f t="shared" si="67"/>
        <v>533.9</v>
      </c>
      <c r="F285" t="str">
        <f ca="1" t="shared" si="62"/>
        <v> R</v>
      </c>
      <c r="G285" t="str">
        <f ca="1" t="shared" si="63"/>
        <v>(SS) Rt 747 / N Jefferson St</v>
      </c>
      <c r="H285" t="e">
        <f t="shared" si="64"/>
        <v>#VALUE!</v>
      </c>
      <c r="I285" t="str">
        <f t="shared" si="65"/>
        <v>(SS) Rt 747 / N Jefferson St</v>
      </c>
      <c r="J285">
        <f t="shared" si="66"/>
      </c>
    </row>
    <row r="286" spans="1:10" ht="15">
      <c r="A286">
        <f ca="1" t="shared" si="58"/>
        <v>4</v>
      </c>
      <c r="B286">
        <f ca="1" t="shared" si="59"/>
        <v>56</v>
      </c>
      <c r="C286" t="str">
        <f t="shared" si="60"/>
        <v>Seg4!</v>
      </c>
      <c r="D286">
        <f ca="1" t="shared" si="61"/>
        <v>531.22</v>
      </c>
      <c r="E286">
        <f t="shared" si="67"/>
        <v>533.9</v>
      </c>
      <c r="F286" t="str">
        <f ca="1" t="shared" si="62"/>
        <v> STOP</v>
      </c>
      <c r="G286" t="str">
        <f ca="1" t="shared" si="63"/>
        <v>Controle Sheetz on left Jct. Water St. {MiniMart}</v>
      </c>
      <c r="H286">
        <f t="shared" si="64"/>
        <v>40</v>
      </c>
      <c r="I286" t="str">
        <f t="shared" si="65"/>
        <v>Controle Sheetz on left Jct. Water St. </v>
      </c>
      <c r="J286" t="str">
        <f t="shared" si="66"/>
        <v>MiniMart</v>
      </c>
    </row>
    <row r="287" spans="1:10" ht="15">
      <c r="A287">
        <f ca="1" t="shared" si="58"/>
        <v>4</v>
      </c>
      <c r="B287">
        <f ca="1" t="shared" si="59"/>
        <v>57</v>
      </c>
      <c r="C287" t="str">
        <f t="shared" si="60"/>
        <v>Seg4!</v>
      </c>
      <c r="D287">
        <f ca="1" t="shared" si="61"/>
        <v>531.24</v>
      </c>
      <c r="E287">
        <f t="shared" si="67"/>
        <v>534</v>
      </c>
      <c r="F287" t="str">
        <f ca="1" t="shared" si="62"/>
        <v> Continue</v>
      </c>
      <c r="G287" t="str">
        <f ca="1" t="shared" si="63"/>
        <v>Leave controle turning left onto Rt 747 / N Jefferson St (same direction)</v>
      </c>
      <c r="H287" t="e">
        <f t="shared" si="64"/>
        <v>#VALUE!</v>
      </c>
      <c r="I287" t="str">
        <f t="shared" si="65"/>
        <v>Leave controle turning left onto Rt 747 / N Jefferson St (same direction)</v>
      </c>
      <c r="J287">
        <f t="shared" si="66"/>
      </c>
    </row>
    <row r="288" spans="1:10" ht="15">
      <c r="A288">
        <f ca="1" t="shared" si="58"/>
        <v>4</v>
      </c>
      <c r="B288">
        <f ca="1" t="shared" si="59"/>
        <v>58</v>
      </c>
      <c r="C288" t="str">
        <f t="shared" si="60"/>
        <v>Seg4!</v>
      </c>
      <c r="D288">
        <f ca="1" t="shared" si="61"/>
        <v>531.65</v>
      </c>
      <c r="E288">
        <f t="shared" si="67"/>
        <v>534.4</v>
      </c>
      <c r="F288" t="str">
        <f ca="1" t="shared" si="62"/>
        <v> BL</v>
      </c>
      <c r="G288" t="str">
        <f ca="1" t="shared" si="63"/>
        <v>FMR TRO Rt 747 (toward Juniata River bridge)</v>
      </c>
      <c r="H288" t="e">
        <f t="shared" si="64"/>
        <v>#VALUE!</v>
      </c>
      <c r="I288" t="str">
        <f t="shared" si="65"/>
        <v>FMR TRO Rt 747 (toward Juniata River bridge)</v>
      </c>
      <c r="J288">
        <f t="shared" si="66"/>
      </c>
    </row>
    <row r="289" spans="1:10" ht="15">
      <c r="A289">
        <f ca="1" t="shared" si="58"/>
        <v>4</v>
      </c>
      <c r="B289">
        <f ca="1" t="shared" si="59"/>
        <v>59</v>
      </c>
      <c r="C289" t="str">
        <f t="shared" si="60"/>
        <v>Seg4!</v>
      </c>
      <c r="D289">
        <f ca="1" t="shared" si="61"/>
        <v>531.79</v>
      </c>
      <c r="E289">
        <f t="shared" si="67"/>
        <v>534.5</v>
      </c>
      <c r="F289" t="str">
        <f ca="1" t="shared" si="62"/>
        <v> T L</v>
      </c>
      <c r="G289" t="str">
        <f ca="1" t="shared" si="63"/>
        <v>(TFL) Rt 22 {Pizza; Ice cream}</v>
      </c>
      <c r="H289">
        <f t="shared" si="64"/>
        <v>13</v>
      </c>
      <c r="I289" t="str">
        <f t="shared" si="65"/>
        <v>(TFL) Rt 22 </v>
      </c>
      <c r="J289" t="str">
        <f t="shared" si="66"/>
        <v>Pizza; Ice cream</v>
      </c>
    </row>
    <row r="290" spans="1:10" ht="15">
      <c r="A290">
        <f ca="1" t="shared" si="58"/>
        <v>4</v>
      </c>
      <c r="B290">
        <f ca="1" t="shared" si="59"/>
        <v>60</v>
      </c>
      <c r="C290" t="str">
        <f t="shared" si="60"/>
        <v>Seg4!</v>
      </c>
      <c r="D290">
        <f ca="1" t="shared" si="61"/>
        <v>534.39</v>
      </c>
      <c r="E290">
        <f t="shared" si="67"/>
        <v>537.1</v>
      </c>
      <c r="F290" t="str">
        <f ca="1" t="shared" si="62"/>
        <v> 1st BL</v>
      </c>
      <c r="G290" t="str">
        <f ca="1" t="shared" si="63"/>
        <v>Oriskany Rd / Rt 2020 (look for "To 655") {MiniMart}</v>
      </c>
      <c r="H290">
        <f t="shared" si="64"/>
        <v>43</v>
      </c>
      <c r="I290" t="str">
        <f t="shared" si="65"/>
        <v>Oriskany Rd / Rt 2020 (look for "To 655") </v>
      </c>
      <c r="J290" t="str">
        <f t="shared" si="66"/>
        <v>MiniMart</v>
      </c>
    </row>
    <row r="291" spans="1:10" ht="15">
      <c r="A291">
        <f ca="1" t="shared" si="58"/>
        <v>4</v>
      </c>
      <c r="B291">
        <f ca="1" t="shared" si="59"/>
        <v>61</v>
      </c>
      <c r="C291" t="str">
        <f t="shared" si="60"/>
        <v>Seg4!</v>
      </c>
      <c r="D291">
        <f ca="1" t="shared" si="61"/>
        <v>535.1</v>
      </c>
      <c r="E291">
        <f t="shared" si="67"/>
        <v>537.8</v>
      </c>
      <c r="F291" t="str">
        <f ca="1" t="shared" si="62"/>
        <v> 1st L</v>
      </c>
      <c r="G291" t="str">
        <f ca="1" t="shared" si="63"/>
        <v>Bridge St / Rt 655 (crossing Juniata River bridge)</v>
      </c>
      <c r="H291" t="e">
        <f t="shared" si="64"/>
        <v>#VALUE!</v>
      </c>
      <c r="I291" t="str">
        <f t="shared" si="65"/>
        <v>Bridge St / Rt 655 (crossing Juniata River bridge)</v>
      </c>
      <c r="J291">
        <f t="shared" si="66"/>
      </c>
    </row>
    <row r="292" spans="1:10" ht="15">
      <c r="A292">
        <f ca="1" t="shared" si="58"/>
        <v>4</v>
      </c>
      <c r="B292">
        <f ca="1" t="shared" si="59"/>
        <v>62</v>
      </c>
      <c r="C292" t="str">
        <f t="shared" si="60"/>
        <v>Seg4!</v>
      </c>
      <c r="D292">
        <f ca="1" t="shared" si="61"/>
        <v>535.27</v>
      </c>
      <c r="E292">
        <f t="shared" si="67"/>
        <v>538</v>
      </c>
      <c r="F292" t="str">
        <f ca="1" t="shared" si="62"/>
        <v> BR</v>
      </c>
      <c r="G292" t="str">
        <f ca="1" t="shared" si="63"/>
        <v>FMR TRO Rt 655 / Main St [Mapleton]</v>
      </c>
      <c r="H292" t="e">
        <f t="shared" si="64"/>
        <v>#VALUE!</v>
      </c>
      <c r="I292" t="str">
        <f t="shared" si="65"/>
        <v>FMR TRO Rt 655 / Main St [Mapleton]</v>
      </c>
      <c r="J292">
        <f t="shared" si="66"/>
      </c>
    </row>
    <row r="293" spans="1:10" ht="15">
      <c r="A293">
        <f ca="1" t="shared" si="58"/>
        <v>4</v>
      </c>
      <c r="B293">
        <f ca="1" t="shared" si="59"/>
        <v>63</v>
      </c>
      <c r="C293" t="str">
        <f t="shared" si="60"/>
        <v>Seg4!</v>
      </c>
      <c r="D293">
        <f ca="1" t="shared" si="61"/>
        <v>535.37</v>
      </c>
      <c r="E293">
        <f t="shared" si="67"/>
        <v>538.1</v>
      </c>
      <c r="F293" t="str">
        <f ca="1" t="shared" si="62"/>
        <v> Straight</v>
      </c>
      <c r="G293" t="str">
        <f ca="1" t="shared" si="63"/>
        <v>(unmarked) Maint St (Leaving Rt 655)</v>
      </c>
      <c r="H293" t="e">
        <f t="shared" si="64"/>
        <v>#VALUE!</v>
      </c>
      <c r="I293" t="str">
        <f t="shared" si="65"/>
        <v>(unmarked) Maint St (Leaving Rt 655)</v>
      </c>
      <c r="J293">
        <f t="shared" si="66"/>
      </c>
    </row>
    <row r="294" spans="1:10" ht="15">
      <c r="A294">
        <f ca="1" t="shared" si="58"/>
        <v>4</v>
      </c>
      <c r="B294">
        <f ca="1" t="shared" si="59"/>
        <v>64</v>
      </c>
      <c r="C294" t="str">
        <f t="shared" si="60"/>
        <v>Seg4!</v>
      </c>
      <c r="D294">
        <f ca="1" t="shared" si="61"/>
        <v>535.45</v>
      </c>
      <c r="E294">
        <f t="shared" si="67"/>
        <v>538.2</v>
      </c>
      <c r="F294" t="str">
        <f ca="1" t="shared" si="62"/>
        <v> R</v>
      </c>
      <c r="G294" t="str">
        <f ca="1" t="shared" si="63"/>
        <v>(SS) Callohill St / Rt 3029</v>
      </c>
      <c r="H294" t="e">
        <f t="shared" si="64"/>
        <v>#VALUE!</v>
      </c>
      <c r="I294" t="str">
        <f t="shared" si="65"/>
        <v>(SS) Callohill St / Rt 3029</v>
      </c>
      <c r="J294">
        <f t="shared" si="66"/>
      </c>
    </row>
    <row r="295" spans="1:10" ht="15">
      <c r="A295">
        <f ca="1" t="shared" si="58"/>
        <v>4</v>
      </c>
      <c r="B295">
        <f ca="1" t="shared" si="59"/>
        <v>65</v>
      </c>
      <c r="C295" t="str">
        <f t="shared" si="60"/>
        <v>Seg4!</v>
      </c>
      <c r="D295">
        <f ca="1" t="shared" si="61"/>
        <v>536.13</v>
      </c>
      <c r="E295">
        <f t="shared" si="67"/>
        <v>538.9</v>
      </c>
      <c r="F295" t="str">
        <f ca="1" t="shared" si="62"/>
        <v> BL</v>
      </c>
      <c r="G295" t="str">
        <f ca="1" t="shared" si="63"/>
        <v>(unmarked) Smith Valley Rd / Rt 3029 (Jct River Rd near school)</v>
      </c>
      <c r="H295" t="e">
        <f t="shared" si="64"/>
        <v>#VALUE!</v>
      </c>
      <c r="I295" t="str">
        <f t="shared" si="65"/>
        <v>(unmarked) Smith Valley Rd / Rt 3029 (Jct River Rd near school)</v>
      </c>
      <c r="J295">
        <f t="shared" si="66"/>
      </c>
    </row>
    <row r="296" spans="1:10" ht="15">
      <c r="A296">
        <f ca="1" t="shared" si="58"/>
        <v>4</v>
      </c>
      <c r="B296">
        <f ca="1" t="shared" si="59"/>
        <v>66</v>
      </c>
      <c r="C296" t="str">
        <f t="shared" si="60"/>
        <v>Seg4!</v>
      </c>
      <c r="D296">
        <f ca="1" t="shared" si="61"/>
        <v>537</v>
      </c>
      <c r="E296">
        <f t="shared" si="67"/>
        <v>539.7</v>
      </c>
      <c r="F296" t="str">
        <f ca="1" t="shared" si="62"/>
        <v> 1st R</v>
      </c>
      <c r="G296" t="str">
        <f ca="1" t="shared" si="63"/>
        <v>(unmakred) Rt 3049 / Polecat Hollow Rd (following Bike Route)</v>
      </c>
      <c r="H296" t="e">
        <f t="shared" si="64"/>
        <v>#VALUE!</v>
      </c>
      <c r="I296" t="str">
        <f t="shared" si="65"/>
        <v>(unmakred) Rt 3049 / Polecat Hollow Rd (following Bike Route)</v>
      </c>
      <c r="J296">
        <f t="shared" si="66"/>
      </c>
    </row>
    <row r="297" spans="1:10" ht="15">
      <c r="A297">
        <f ca="1" t="shared" si="58"/>
        <v>4</v>
      </c>
      <c r="B297">
        <f ca="1" t="shared" si="59"/>
        <v>67</v>
      </c>
      <c r="C297" t="str">
        <f t="shared" si="60"/>
        <v>Seg4!</v>
      </c>
      <c r="D297">
        <f ca="1" t="shared" si="61"/>
        <v>538.26</v>
      </c>
      <c r="E297">
        <f t="shared" si="67"/>
        <v>541</v>
      </c>
      <c r="F297" t="str">
        <f ca="1" t="shared" si="62"/>
        <v> T R</v>
      </c>
      <c r="G297" t="str">
        <f ca="1" t="shared" si="63"/>
        <v>(SS) Rt 829</v>
      </c>
      <c r="H297" t="e">
        <f t="shared" si="64"/>
        <v>#VALUE!</v>
      </c>
      <c r="I297" t="str">
        <f t="shared" si="65"/>
        <v>(SS) Rt 829</v>
      </c>
      <c r="J297">
        <f t="shared" si="66"/>
      </c>
    </row>
    <row r="298" spans="1:10" ht="15">
      <c r="A298">
        <f ca="1" t="shared" si="58"/>
        <v>4</v>
      </c>
      <c r="B298">
        <f ca="1" t="shared" si="59"/>
        <v>68</v>
      </c>
      <c r="C298" t="str">
        <f t="shared" si="60"/>
        <v>Seg4!</v>
      </c>
      <c r="D298">
        <f ca="1" t="shared" si="61"/>
        <v>539.51</v>
      </c>
      <c r="E298">
        <f t="shared" si="67"/>
        <v>542.3</v>
      </c>
      <c r="F298" t="str">
        <f ca="1" t="shared" si="62"/>
        <v> X</v>
      </c>
      <c r="G298" t="str">
        <f ca="1" t="shared" si="63"/>
        <v>Juniata River bridge [Mill Creek]</v>
      </c>
      <c r="H298" t="e">
        <f t="shared" si="64"/>
        <v>#VALUE!</v>
      </c>
      <c r="I298" t="str">
        <f t="shared" si="65"/>
        <v>Juniata River bridge [Mill Creek]</v>
      </c>
      <c r="J298">
        <f t="shared" si="66"/>
      </c>
    </row>
    <row r="299" spans="1:10" ht="15">
      <c r="A299">
        <f ca="1" t="shared" si="58"/>
        <v>4</v>
      </c>
      <c r="B299">
        <f ca="1" t="shared" si="59"/>
        <v>69</v>
      </c>
      <c r="C299" t="str">
        <f t="shared" si="60"/>
        <v>Seg4!</v>
      </c>
      <c r="D299">
        <f ca="1" t="shared" si="61"/>
        <v>539.79</v>
      </c>
      <c r="E299">
        <f t="shared" si="67"/>
        <v>542.6</v>
      </c>
      <c r="F299" t="str">
        <f ca="1" t="shared" si="62"/>
        <v> T R</v>
      </c>
      <c r="G299" t="str">
        <f ca="1" t="shared" si="63"/>
        <v>Rt 22 {Restaurant}</v>
      </c>
      <c r="H299">
        <f t="shared" si="64"/>
        <v>7</v>
      </c>
      <c r="I299" t="str">
        <f t="shared" si="65"/>
        <v>Rt 22 </v>
      </c>
      <c r="J299" t="str">
        <f t="shared" si="66"/>
        <v>Restaurant</v>
      </c>
    </row>
    <row r="300" spans="1:10" ht="15">
      <c r="A300">
        <f ca="1" t="shared" si="58"/>
        <v>4</v>
      </c>
      <c r="B300">
        <f ca="1" t="shared" si="59"/>
        <v>70</v>
      </c>
      <c r="C300" t="str">
        <f t="shared" si="60"/>
        <v>Seg4!</v>
      </c>
      <c r="D300">
        <f ca="1" t="shared" si="61"/>
        <v>539.91</v>
      </c>
      <c r="E300">
        <f t="shared" si="67"/>
        <v>542.7</v>
      </c>
      <c r="F300" t="str">
        <f ca="1" t="shared" si="62"/>
        <v> Pass</v>
      </c>
      <c r="G300" t="str">
        <f ca="1" t="shared" si="63"/>
        <v>Kwik Fill {MiniMart; Diner}</v>
      </c>
      <c r="H300">
        <f t="shared" si="64"/>
        <v>11</v>
      </c>
      <c r="I300" t="str">
        <f t="shared" si="65"/>
        <v>Kwik Fill </v>
      </c>
      <c r="J300" t="str">
        <f t="shared" si="66"/>
        <v>MiniMart; Diner</v>
      </c>
    </row>
    <row r="301" spans="1:10" ht="15">
      <c r="A301">
        <f ca="1" t="shared" si="58"/>
        <v>4</v>
      </c>
      <c r="B301">
        <f ca="1" t="shared" si="59"/>
        <v>71</v>
      </c>
      <c r="C301" t="str">
        <f t="shared" si="60"/>
        <v>Seg4!</v>
      </c>
      <c r="D301">
        <f ca="1" t="shared" si="61"/>
        <v>540.23</v>
      </c>
      <c r="E301">
        <f t="shared" si="67"/>
        <v>543</v>
      </c>
      <c r="F301" t="str">
        <f ca="1" t="shared" si="62"/>
        <v> 2nd L</v>
      </c>
      <c r="G301" t="str">
        <f ca="1" t="shared" si="63"/>
        <v>Rt 1003 / Sugar Grove Rd (use turning lane) (Begin long steep climb)</v>
      </c>
      <c r="H301" t="e">
        <f t="shared" si="64"/>
        <v>#VALUE!</v>
      </c>
      <c r="I301" t="str">
        <f t="shared" si="65"/>
        <v>Rt 1003 / Sugar Grove Rd (use turning lane) (Begin long steep climb)</v>
      </c>
      <c r="J301">
        <f t="shared" si="66"/>
      </c>
    </row>
    <row r="302" spans="1:10" ht="15">
      <c r="A302">
        <f ca="1" t="shared" si="58"/>
        <v>4</v>
      </c>
      <c r="B302">
        <f ca="1" t="shared" si="59"/>
        <v>72</v>
      </c>
      <c r="C302" t="str">
        <f t="shared" si="60"/>
        <v>Seg4!</v>
      </c>
      <c r="D302">
        <f ca="1" t="shared" si="61"/>
        <v>546.23</v>
      </c>
      <c r="E302">
        <f t="shared" si="67"/>
        <v>549</v>
      </c>
      <c r="F302" t="str">
        <f ca="1" t="shared" si="62"/>
        <v> T R</v>
      </c>
      <c r="G302" t="str">
        <f ca="1" t="shared" si="63"/>
        <v>Rt 1001 / Stone Creek Ridge Rd (Top of climb)</v>
      </c>
      <c r="H302" t="e">
        <f t="shared" si="64"/>
        <v>#VALUE!</v>
      </c>
      <c r="I302" t="str">
        <f t="shared" si="65"/>
        <v>Rt 1001 / Stone Creek Ridge Rd (Top of climb)</v>
      </c>
      <c r="J302">
        <f t="shared" si="66"/>
      </c>
    </row>
    <row r="303" spans="1:10" ht="15">
      <c r="A303">
        <f ca="1" t="shared" si="58"/>
        <v>4</v>
      </c>
      <c r="B303">
        <f ca="1" t="shared" si="59"/>
        <v>73</v>
      </c>
      <c r="C303" t="str">
        <f t="shared" si="60"/>
        <v>Seg4!</v>
      </c>
      <c r="D303">
        <f ca="1" t="shared" si="61"/>
        <v>553.11</v>
      </c>
      <c r="E303">
        <f t="shared" si="67"/>
        <v>555.9</v>
      </c>
      <c r="F303" t="str">
        <f ca="1" t="shared" si="62"/>
        <v> T R</v>
      </c>
      <c r="G303" t="str">
        <f ca="1" t="shared" si="63"/>
        <v>(SS) Rt 26 / Standing Stone Rd</v>
      </c>
      <c r="H303" t="e">
        <f t="shared" si="64"/>
        <v>#VALUE!</v>
      </c>
      <c r="I303" t="str">
        <f t="shared" si="65"/>
        <v>(SS) Rt 26 / Standing Stone Rd</v>
      </c>
      <c r="J303">
        <f t="shared" si="66"/>
      </c>
    </row>
    <row r="304" spans="1:10" ht="15">
      <c r="A304">
        <f ca="1" t="shared" si="58"/>
        <v>4</v>
      </c>
      <c r="B304">
        <f ca="1" t="shared" si="59"/>
        <v>74</v>
      </c>
      <c r="C304" t="str">
        <f t="shared" si="60"/>
        <v>Seg4!</v>
      </c>
      <c r="D304">
        <f ca="1" t="shared" si="61"/>
        <v>558.38</v>
      </c>
      <c r="E304">
        <f t="shared" si="67"/>
        <v>561.2</v>
      </c>
      <c r="F304" t="str">
        <f ca="1" t="shared" si="62"/>
        <v> BR</v>
      </c>
      <c r="G304" t="str">
        <f ca="1" t="shared" si="63"/>
        <v>(SS) TRO Rt 26 (Jct Rt 305)</v>
      </c>
      <c r="H304" t="e">
        <f t="shared" si="64"/>
        <v>#VALUE!</v>
      </c>
      <c r="I304" t="str">
        <f t="shared" si="65"/>
        <v>(SS) TRO Rt 26 (Jct Rt 305)</v>
      </c>
      <c r="J304">
        <f t="shared" si="66"/>
      </c>
    </row>
    <row r="305" spans="1:10" ht="15">
      <c r="A305">
        <f ca="1" t="shared" si="58"/>
        <v>4</v>
      </c>
      <c r="B305">
        <f ca="1" t="shared" si="59"/>
        <v>75</v>
      </c>
      <c r="C305" t="str">
        <f t="shared" si="60"/>
        <v>Seg4!</v>
      </c>
      <c r="D305">
        <f ca="1" t="shared" si="61"/>
        <v>563.1</v>
      </c>
      <c r="E305">
        <f t="shared" si="67"/>
        <v>566</v>
      </c>
      <c r="F305" t="str">
        <f ca="1" t="shared" si="62"/>
        <v> Pass</v>
      </c>
      <c r="G305" t="str">
        <f ca="1" t="shared" si="63"/>
        <v>Whipple Dam Store and "Doan's Bones BBQ"  on right {MiniMart Restaurant }</v>
      </c>
      <c r="H305">
        <f t="shared" si="64"/>
        <v>52</v>
      </c>
      <c r="I305" t="str">
        <f t="shared" si="65"/>
        <v>Whipple Dam Store and "Doan's Bones BBQ"  on right </v>
      </c>
      <c r="J305" t="str">
        <f t="shared" si="66"/>
        <v>MiniMart Restaurant </v>
      </c>
    </row>
    <row r="306" spans="1:10" ht="15">
      <c r="A306">
        <f ca="1" t="shared" si="58"/>
        <v>4</v>
      </c>
      <c r="B306">
        <f ca="1" t="shared" si="59"/>
        <v>76</v>
      </c>
      <c r="C306" t="str">
        <f t="shared" si="60"/>
        <v>Seg4!</v>
      </c>
      <c r="D306">
        <f ca="1" t="shared" si="61"/>
        <v>566.7</v>
      </c>
      <c r="E306">
        <f t="shared" si="67"/>
        <v>569.6</v>
      </c>
      <c r="F306" t="str">
        <f ca="1" t="shared" si="62"/>
        <v> Pass</v>
      </c>
      <c r="G306" t="str">
        <f ca="1" t="shared" si="63"/>
        <v>Jo Hayes Overlook parking area on left CAUTION: Steep twisty descent {Scenic vista}</v>
      </c>
      <c r="H306">
        <f t="shared" si="64"/>
        <v>70</v>
      </c>
      <c r="I306" t="str">
        <f t="shared" si="65"/>
        <v>Jo Hayes Overlook parking area on left CAUTION: Steep twisty descent </v>
      </c>
      <c r="J306" t="str">
        <f t="shared" si="66"/>
        <v>Scenic vista</v>
      </c>
    </row>
    <row r="307" spans="1:10" ht="15">
      <c r="A307">
        <f ca="1" t="shared" si="58"/>
        <v>4</v>
      </c>
      <c r="B307">
        <f ca="1" t="shared" si="59"/>
        <v>77</v>
      </c>
      <c r="C307" t="str">
        <f t="shared" si="60"/>
        <v>Seg4!</v>
      </c>
      <c r="D307">
        <f ca="1" t="shared" si="61"/>
        <v>568.84</v>
      </c>
      <c r="E307">
        <f t="shared" si="67"/>
        <v>571.8</v>
      </c>
      <c r="F307" t="str">
        <f ca="1" t="shared" si="62"/>
        <v> STOP</v>
      </c>
      <c r="G307" t="str">
        <f ca="1" t="shared" si="63"/>
        <v>Controle Shell MiniMart at TFL Jct Rt 45 [Pine Grove Mills] {MiniMart}</v>
      </c>
      <c r="H307">
        <f t="shared" si="64"/>
        <v>61</v>
      </c>
      <c r="I307" t="str">
        <f t="shared" si="65"/>
        <v>Controle Shell MiniMart at TFL Jct Rt 45 [Pine Grove Mills] </v>
      </c>
      <c r="J307" t="str">
        <f t="shared" si="66"/>
        <v>MiniMart</v>
      </c>
    </row>
    <row r="308" spans="1:10" ht="15">
      <c r="A308">
        <f ca="1" t="shared" si="58"/>
        <v>4</v>
      </c>
      <c r="B308">
        <f ca="1" t="shared" si="59"/>
        <v>78</v>
      </c>
      <c r="C308" t="str">
        <f t="shared" si="60"/>
        <v>Seg4!</v>
      </c>
      <c r="D308">
        <f ca="1" t="shared" si="61"/>
        <v>568.85</v>
      </c>
      <c r="E308">
        <f t="shared" si="67"/>
        <v>571.8</v>
      </c>
      <c r="F308" t="str">
        <f ca="1" t="shared" si="62"/>
        <v> Continue</v>
      </c>
      <c r="G308" t="str">
        <f ca="1" t="shared" si="63"/>
        <v>Leave controle turning right on Rt 26 / E Pine Grove Rd (same direction)</v>
      </c>
      <c r="H308" t="e">
        <f t="shared" si="64"/>
        <v>#VALUE!</v>
      </c>
      <c r="I308" t="str">
        <f t="shared" si="65"/>
        <v>Leave controle turning right on Rt 26 / E Pine Grove Rd (same direction)</v>
      </c>
      <c r="J308">
        <f t="shared" si="66"/>
      </c>
    </row>
    <row r="309" spans="1:10" ht="15">
      <c r="A309">
        <f ca="1" t="shared" si="58"/>
        <v>4</v>
      </c>
      <c r="B309">
        <f ca="1" t="shared" si="59"/>
        <v>79</v>
      </c>
      <c r="C309" t="str">
        <f t="shared" si="60"/>
        <v>Seg4!</v>
      </c>
      <c r="D309">
        <f ca="1" t="shared" si="61"/>
        <v>570.1899999999999</v>
      </c>
      <c r="E309">
        <f t="shared" si="67"/>
        <v>573.1</v>
      </c>
      <c r="F309" t="str">
        <f ca="1" t="shared" si="62"/>
        <v> BR</v>
      </c>
      <c r="G309" t="str">
        <f ca="1" t="shared" si="63"/>
        <v>Rt 45 / Shingletown Rd (leaving Rt 26 which splits left)</v>
      </c>
      <c r="H309" t="e">
        <f t="shared" si="64"/>
        <v>#VALUE!</v>
      </c>
      <c r="I309" t="str">
        <f t="shared" si="65"/>
        <v>Rt 45 / Shingletown Rd (leaving Rt 26 which splits left)</v>
      </c>
      <c r="J309">
        <f t="shared" si="66"/>
      </c>
    </row>
    <row r="310" spans="1:10" ht="15">
      <c r="A310">
        <f ca="1" t="shared" si="58"/>
        <v>4</v>
      </c>
      <c r="B310">
        <f ca="1" t="shared" si="59"/>
        <v>80</v>
      </c>
      <c r="C310" t="str">
        <f t="shared" si="60"/>
        <v>Seg4!</v>
      </c>
      <c r="D310">
        <f ca="1" t="shared" si="61"/>
        <v>573.71</v>
      </c>
      <c r="E310">
        <f t="shared" si="67"/>
        <v>576.6</v>
      </c>
      <c r="F310" t="str">
        <f ca="1" t="shared" si="62"/>
        <v> ***R</v>
      </c>
      <c r="G310" t="str">
        <f ca="1" t="shared" si="63"/>
        <v>Main St (Look for "Historic Boalsburg Village")</v>
      </c>
      <c r="H310" t="e">
        <f t="shared" si="64"/>
        <v>#VALUE!</v>
      </c>
      <c r="I310" t="str">
        <f t="shared" si="65"/>
        <v>Main St (Look for "Historic Boalsburg Village")</v>
      </c>
      <c r="J310">
        <f t="shared" si="66"/>
      </c>
    </row>
    <row r="311" spans="1:10" ht="15">
      <c r="A311">
        <f ca="1" t="shared" si="58"/>
        <v>4</v>
      </c>
      <c r="B311">
        <f ca="1" t="shared" si="59"/>
        <v>81</v>
      </c>
      <c r="C311" t="str">
        <f t="shared" si="60"/>
        <v>Seg4!</v>
      </c>
      <c r="D311">
        <f ca="1" t="shared" si="61"/>
        <v>574.74</v>
      </c>
      <c r="E311">
        <f t="shared" si="67"/>
        <v>577.7</v>
      </c>
      <c r="F311" t="str">
        <f ca="1" t="shared" si="62"/>
        <v> Pass</v>
      </c>
      <c r="G311" t="str">
        <f ca="1" t="shared" si="63"/>
        <v>Duffy's Tavern on left [Boalsburg] {Pub}</v>
      </c>
      <c r="H311">
        <f t="shared" si="64"/>
        <v>36</v>
      </c>
      <c r="I311" t="str">
        <f t="shared" si="65"/>
        <v>Duffy's Tavern on left [Boalsburg] </v>
      </c>
      <c r="J311" t="str">
        <f t="shared" si="66"/>
        <v>Pub</v>
      </c>
    </row>
    <row r="312" spans="1:10" ht="15">
      <c r="A312">
        <f ca="1" t="shared" si="58"/>
        <v>4</v>
      </c>
      <c r="B312">
        <f ca="1" t="shared" si="59"/>
        <v>82</v>
      </c>
      <c r="C312" t="str">
        <f t="shared" si="60"/>
        <v>Seg4!</v>
      </c>
      <c r="D312">
        <f ca="1" t="shared" si="61"/>
        <v>574.98</v>
      </c>
      <c r="E312">
        <f t="shared" si="67"/>
        <v>577.9</v>
      </c>
      <c r="F312" t="str">
        <f ca="1" t="shared" si="62"/>
        <v> X</v>
      </c>
      <c r="G312" t="str">
        <f ca="1" t="shared" si="63"/>
        <v>(TFL) Rt 322 (joining Rt 45 / Earlystown Rd) {MiniMart off-course 0.2 mi left}</v>
      </c>
      <c r="H312">
        <f t="shared" si="64"/>
        <v>46</v>
      </c>
      <c r="I312" t="str">
        <f t="shared" si="65"/>
        <v>(TFL) Rt 322 (joining Rt 45 / Earlystown Rd) </v>
      </c>
      <c r="J312" t="str">
        <f t="shared" si="66"/>
        <v>MiniMart off-course 0.2 mi left</v>
      </c>
    </row>
    <row r="313" spans="1:10" ht="15">
      <c r="A313">
        <f ca="1" t="shared" si="58"/>
        <v>4</v>
      </c>
      <c r="B313">
        <f ca="1" t="shared" si="59"/>
        <v>83</v>
      </c>
      <c r="C313" t="str">
        <f t="shared" si="60"/>
        <v>Seg4!</v>
      </c>
      <c r="D313">
        <f ca="1" t="shared" si="61"/>
        <v>576.77</v>
      </c>
      <c r="E313">
        <f t="shared" si="67"/>
        <v>579.7</v>
      </c>
      <c r="F313" t="str">
        <f ca="1" t="shared" si="62"/>
        <v> L</v>
      </c>
      <c r="G313" t="str">
        <f ca="1" t="shared" si="63"/>
        <v>Linden Hall Rd / Rt 2006 (follow "Linden Hall")</v>
      </c>
      <c r="H313" t="e">
        <f t="shared" si="64"/>
        <v>#VALUE!</v>
      </c>
      <c r="I313" t="str">
        <f t="shared" si="65"/>
        <v>Linden Hall Rd / Rt 2006 (follow "Linden Hall")</v>
      </c>
      <c r="J313">
        <f t="shared" si="66"/>
      </c>
    </row>
    <row r="314" spans="1:10" ht="15">
      <c r="A314">
        <f aca="true" ca="1" t="shared" si="68" ref="A314:A347">IF(INDIRECT($C313&amp;"A"&amp;$B313+1)&lt;&gt;"",A313,A313+1)</f>
        <v>4</v>
      </c>
      <c r="B314">
        <f aca="true" ca="1" t="shared" si="69" ref="B314:B347">IF(INDIRECT($C313&amp;"A"&amp;$B313+1)&lt;&gt;"",B313+1,3)</f>
        <v>84</v>
      </c>
      <c r="C314" t="str">
        <f aca="true" t="shared" si="70" ref="C314:C347">"Seg"&amp;A314&amp;"!"</f>
        <v>Seg4!</v>
      </c>
      <c r="D314">
        <f ca="1" t="shared" si="61"/>
        <v>577.26</v>
      </c>
      <c r="E314">
        <f t="shared" si="67"/>
        <v>580.2</v>
      </c>
      <c r="F314" t="str">
        <f ca="1" t="shared" si="62"/>
        <v> BR</v>
      </c>
      <c r="G314" t="str">
        <f ca="1" t="shared" si="63"/>
        <v>(SS) FMR Rock Hill Rd / 2006 (Bike "G")</v>
      </c>
      <c r="H314" t="e">
        <f t="shared" si="64"/>
        <v>#VALUE!</v>
      </c>
      <c r="I314" t="str">
        <f t="shared" si="65"/>
        <v>(SS) FMR Rock Hill Rd / 2006 (Bike "G")</v>
      </c>
      <c r="J314">
        <f t="shared" si="66"/>
      </c>
    </row>
    <row r="315" spans="1:10" ht="15">
      <c r="A315">
        <f ca="1" t="shared" si="68"/>
        <v>4</v>
      </c>
      <c r="B315">
        <f ca="1" t="shared" si="69"/>
        <v>85</v>
      </c>
      <c r="C315" t="str">
        <f t="shared" si="70"/>
        <v>Seg4!</v>
      </c>
      <c r="D315">
        <f ca="1" t="shared" si="61"/>
        <v>577.66</v>
      </c>
      <c r="E315">
        <f t="shared" si="67"/>
        <v>580.6</v>
      </c>
      <c r="F315" t="str">
        <f ca="1" t="shared" si="62"/>
        <v> BR</v>
      </c>
      <c r="G315" t="str">
        <f ca="1" t="shared" si="63"/>
        <v>(SS) Joining Brush Valley Rd / Rt 2006 b/c Rt 192</v>
      </c>
      <c r="H315" t="e">
        <f t="shared" si="64"/>
        <v>#VALUE!</v>
      </c>
      <c r="I315" t="str">
        <f t="shared" si="65"/>
        <v>(SS) Joining Brush Valley Rd / Rt 2006 b/c Rt 192</v>
      </c>
      <c r="J315">
        <f t="shared" si="66"/>
      </c>
    </row>
    <row r="316" spans="1:10" ht="15">
      <c r="A316">
        <f ca="1" t="shared" si="68"/>
        <v>4</v>
      </c>
      <c r="B316">
        <f ca="1" t="shared" si="69"/>
        <v>86</v>
      </c>
      <c r="C316" t="str">
        <f t="shared" si="70"/>
        <v>Seg4!</v>
      </c>
      <c r="D316">
        <f ca="1" t="shared" si="61"/>
        <v>582.88</v>
      </c>
      <c r="E316">
        <f t="shared" si="67"/>
        <v>585.9</v>
      </c>
      <c r="F316" t="str">
        <f ca="1" t="shared" si="62"/>
        <v> X</v>
      </c>
      <c r="G316" t="str">
        <f ca="1" t="shared" si="63"/>
        <v>(TFL) Rt 144 (now on Church St / Rt 192) [Centre Hall] {Restaurant Stores}</v>
      </c>
      <c r="H316">
        <f t="shared" si="64"/>
        <v>56</v>
      </c>
      <c r="I316" t="str">
        <f t="shared" si="65"/>
        <v>(TFL) Rt 144 (now on Church St / Rt 192) [Centre Hall] </v>
      </c>
      <c r="J316" t="str">
        <f t="shared" si="66"/>
        <v>Restaurant Stores</v>
      </c>
    </row>
    <row r="317" spans="1:10" ht="15">
      <c r="A317">
        <f ca="1" t="shared" si="68"/>
        <v>4</v>
      </c>
      <c r="B317">
        <f ca="1" t="shared" si="69"/>
        <v>87</v>
      </c>
      <c r="C317" t="str">
        <f t="shared" si="70"/>
        <v>Seg4!</v>
      </c>
      <c r="D317">
        <f ca="1" t="shared" si="61"/>
        <v>597.44</v>
      </c>
      <c r="E317">
        <f t="shared" si="67"/>
        <v>600.5</v>
      </c>
      <c r="F317" t="str">
        <f ca="1" t="shared" si="62"/>
        <v> STOP</v>
      </c>
      <c r="G317" t="str">
        <f ca="1" t="shared" si="63"/>
        <v>Controle Rebersburg Monument on left Jct Main St / Walnut St  (Answer info question){Store}</v>
      </c>
      <c r="H317">
        <f t="shared" si="64"/>
        <v>85</v>
      </c>
      <c r="I317" t="str">
        <f t="shared" si="65"/>
        <v>Controle Rebersburg Monument on left Jct Main St / Walnut St  (Answer info question)</v>
      </c>
      <c r="J317" t="str">
        <f t="shared" si="66"/>
        <v>Store</v>
      </c>
    </row>
    <row r="318" spans="1:10" ht="15">
      <c r="A318">
        <f ca="1" t="shared" si="68"/>
        <v>4</v>
      </c>
      <c r="B318">
        <f ca="1" t="shared" si="69"/>
        <v>88</v>
      </c>
      <c r="C318" t="str">
        <f t="shared" si="70"/>
        <v>Seg4!</v>
      </c>
      <c r="D318">
        <f ca="1" t="shared" si="61"/>
        <v>597.46</v>
      </c>
      <c r="E318">
        <f t="shared" si="67"/>
        <v>600.5</v>
      </c>
      <c r="F318" t="str">
        <f ca="1" t="shared" si="62"/>
        <v> Continue</v>
      </c>
      <c r="G318" t="str">
        <f ca="1" t="shared" si="63"/>
        <v>Leave controle turning left on Rt 192 (same direction)</v>
      </c>
      <c r="H318" t="e">
        <f t="shared" si="64"/>
        <v>#VALUE!</v>
      </c>
      <c r="I318" t="str">
        <f t="shared" si="65"/>
        <v>Leave controle turning left on Rt 192 (same direction)</v>
      </c>
      <c r="J318">
        <f t="shared" si="66"/>
      </c>
    </row>
    <row r="319" spans="1:10" ht="15">
      <c r="A319">
        <f ca="1" t="shared" si="68"/>
        <v>4</v>
      </c>
      <c r="B319">
        <f ca="1" t="shared" si="69"/>
        <v>89</v>
      </c>
      <c r="C319" t="str">
        <f t="shared" si="70"/>
        <v>Seg4!</v>
      </c>
      <c r="D319">
        <f ca="1" t="shared" si="61"/>
        <v>628.37</v>
      </c>
      <c r="E319">
        <f t="shared" si="67"/>
        <v>631.6</v>
      </c>
      <c r="F319" t="str">
        <f ca="1" t="shared" si="62"/>
        <v> X</v>
      </c>
      <c r="G319" t="str">
        <f ca="1" t="shared" si="63"/>
        <v>(TFL) Rt 15 (now on Buffalo Rd) [Lewisburg]</v>
      </c>
      <c r="H319" t="e">
        <f t="shared" si="64"/>
        <v>#VALUE!</v>
      </c>
      <c r="I319" t="str">
        <f t="shared" si="65"/>
        <v>(TFL) Rt 15 (now on Buffalo Rd) [Lewisburg]</v>
      </c>
      <c r="J319">
        <f t="shared" si="66"/>
      </c>
    </row>
    <row r="320" spans="1:10" ht="15">
      <c r="A320">
        <f ca="1" t="shared" si="68"/>
        <v>4</v>
      </c>
      <c r="B320">
        <f ca="1" t="shared" si="69"/>
        <v>90</v>
      </c>
      <c r="C320" t="str">
        <f t="shared" si="70"/>
        <v>Seg4!</v>
      </c>
      <c r="D320">
        <f ca="1" t="shared" si="61"/>
        <v>628.56</v>
      </c>
      <c r="E320">
        <f t="shared" si="67"/>
        <v>631.8</v>
      </c>
      <c r="F320" t="str">
        <f ca="1" t="shared" si="62"/>
        <v> BL</v>
      </c>
      <c r="G320" t="str">
        <f ca="1" t="shared" si="63"/>
        <v>(SS) St Anthony St (NOT hard left onto 4th)</v>
      </c>
      <c r="H320" t="e">
        <f t="shared" si="64"/>
        <v>#VALUE!</v>
      </c>
      <c r="I320" t="str">
        <f t="shared" si="65"/>
        <v>(SS) St Anthony St (NOT hard left onto 4th)</v>
      </c>
      <c r="J320">
        <f t="shared" si="66"/>
      </c>
    </row>
    <row r="321" spans="1:10" ht="15">
      <c r="A321">
        <f ca="1" t="shared" si="68"/>
        <v>4</v>
      </c>
      <c r="B321">
        <f ca="1" t="shared" si="69"/>
        <v>91</v>
      </c>
      <c r="C321" t="str">
        <f t="shared" si="70"/>
        <v>Seg4!</v>
      </c>
      <c r="D321">
        <f ca="1" t="shared" si="61"/>
        <v>628.65</v>
      </c>
      <c r="E321">
        <f t="shared" si="67"/>
        <v>631.9</v>
      </c>
      <c r="F321" t="str">
        <f ca="1" t="shared" si="62"/>
        <v> X</v>
      </c>
      <c r="G321" t="str">
        <f ca="1" t="shared" si="63"/>
        <v>(SS) 3rd St TRO St Anthony b/c River Rd ahead at bend</v>
      </c>
      <c r="H321" t="e">
        <f t="shared" si="64"/>
        <v>#VALUE!</v>
      </c>
      <c r="I321" t="str">
        <f t="shared" si="65"/>
        <v>(SS) 3rd St TRO St Anthony b/c River Rd ahead at bend</v>
      </c>
      <c r="J321">
        <f t="shared" si="66"/>
      </c>
    </row>
    <row r="322" spans="1:10" ht="15">
      <c r="A322">
        <f ca="1" t="shared" si="68"/>
        <v>4</v>
      </c>
      <c r="B322">
        <f ca="1" t="shared" si="69"/>
        <v>92</v>
      </c>
      <c r="C322" t="str">
        <f t="shared" si="70"/>
        <v>Seg4!</v>
      </c>
      <c r="D322">
        <f ca="1" t="shared" si="61"/>
        <v>629.68</v>
      </c>
      <c r="E322">
        <f t="shared" si="67"/>
        <v>632.9</v>
      </c>
      <c r="F322" t="str">
        <f ca="1" t="shared" si="62"/>
        <v> X</v>
      </c>
      <c r="G322" t="str">
        <f ca="1" t="shared" si="63"/>
        <v>(TFL) Rt 15 now on Hospital Dr</v>
      </c>
      <c r="H322" t="e">
        <f t="shared" si="64"/>
        <v>#VALUE!</v>
      </c>
      <c r="I322" t="str">
        <f t="shared" si="65"/>
        <v>(TFL) Rt 15 now on Hospital Dr</v>
      </c>
      <c r="J322">
        <f t="shared" si="66"/>
      </c>
    </row>
    <row r="323" spans="1:10" ht="15">
      <c r="A323">
        <f ca="1" t="shared" si="68"/>
        <v>4</v>
      </c>
      <c r="B323">
        <f ca="1" t="shared" si="69"/>
        <v>93</v>
      </c>
      <c r="C323" t="str">
        <f t="shared" si="70"/>
        <v>Seg4!</v>
      </c>
      <c r="D323">
        <f ca="1" t="shared" si="71" ref="D323:D386">INDIRECT($C323&amp;"L"&amp;$B323)</f>
        <v>629.86</v>
      </c>
      <c r="E323">
        <f t="shared" si="67"/>
        <v>633.1</v>
      </c>
      <c r="F323" t="str">
        <f ca="1" t="shared" si="72" ref="F323:F386">INDIRECT($C323&amp;"M"&amp;$B323)</f>
        <v> 1st R</v>
      </c>
      <c r="G323" t="str">
        <f ca="1" t="shared" si="73" ref="G323:G386">INDIRECT($C323&amp;"A"&amp;$B323)</f>
        <v>Walter Dr</v>
      </c>
      <c r="H323" t="e">
        <f aca="true" t="shared" si="74" ref="H323:H386">FIND("{",G323)</f>
        <v>#VALUE!</v>
      </c>
      <c r="I323" t="str">
        <f aca="true" t="shared" si="75" ref="I323:I386">IF(ISNUMBER(H323),LEFT(G323,H323-1),G323)</f>
        <v>Walter Dr</v>
      </c>
      <c r="J323">
        <f aca="true" t="shared" si="76" ref="J323:J386">IF(ISNUMBER(H323),MID(G323,H323+1,LEN(G323)-H323-1),"")</f>
      </c>
    </row>
    <row r="324" spans="1:10" ht="15">
      <c r="A324">
        <f ca="1" t="shared" si="68"/>
        <v>4</v>
      </c>
      <c r="B324">
        <f ca="1" t="shared" si="69"/>
        <v>94</v>
      </c>
      <c r="C324" t="str">
        <f t="shared" si="70"/>
        <v>Seg4!</v>
      </c>
      <c r="D324">
        <f ca="1" t="shared" si="71"/>
        <v>630</v>
      </c>
      <c r="E324">
        <f aca="true" t="shared" si="77" ref="E324:E387">TRUNC(D324*$J$1,1)</f>
        <v>633.2</v>
      </c>
      <c r="F324" t="str">
        <f ca="1" t="shared" si="72"/>
        <v> STOP</v>
      </c>
      <c r="G324" t="str">
        <f ca="1" t="shared" si="73"/>
        <v>Controle Lewisburg Country Inn &amp; Suites on left</v>
      </c>
      <c r="H324" t="e">
        <f t="shared" si="74"/>
        <v>#VALUE!</v>
      </c>
      <c r="I324" t="str">
        <f t="shared" si="75"/>
        <v>Controle Lewisburg Country Inn &amp; Suites on left</v>
      </c>
      <c r="J324">
        <f t="shared" si="76"/>
      </c>
    </row>
    <row r="325" spans="1:10" ht="15">
      <c r="A325">
        <f ca="1" t="shared" si="68"/>
        <v>5</v>
      </c>
      <c r="B325">
        <f ca="1" t="shared" si="69"/>
        <v>3</v>
      </c>
      <c r="C325" t="str">
        <f t="shared" si="70"/>
        <v>Seg5!</v>
      </c>
      <c r="D325">
        <f ca="1" t="shared" si="71"/>
        <v>630.04</v>
      </c>
      <c r="E325">
        <f t="shared" si="77"/>
        <v>633.3</v>
      </c>
      <c r="F325" t="str">
        <f ca="1" t="shared" si="72"/>
        <v> Backtrack</v>
      </c>
      <c r="G325" t="str">
        <f ca="1" t="shared" si="73"/>
        <v>Leave hotel parking lot turning right on Walter Dr {next controle is untimed info question}</v>
      </c>
      <c r="H325">
        <f t="shared" si="74"/>
        <v>52</v>
      </c>
      <c r="I325" t="str">
        <f t="shared" si="75"/>
        <v>Leave hotel parking lot turning right on Walter Dr </v>
      </c>
      <c r="J325" t="str">
        <f t="shared" si="76"/>
        <v>next controle is untimed info question</v>
      </c>
    </row>
    <row r="326" spans="1:10" ht="15">
      <c r="A326">
        <f ca="1" t="shared" si="68"/>
        <v>5</v>
      </c>
      <c r="B326">
        <f ca="1" t="shared" si="69"/>
        <v>4</v>
      </c>
      <c r="C326" t="str">
        <f t="shared" si="70"/>
        <v>Seg5!</v>
      </c>
      <c r="D326">
        <f ca="1" t="shared" si="71"/>
        <v>630.19</v>
      </c>
      <c r="E326">
        <f t="shared" si="77"/>
        <v>633.4</v>
      </c>
      <c r="F326" t="str">
        <f ca="1" t="shared" si="72"/>
        <v> 1st L</v>
      </c>
      <c r="G326" t="str">
        <f ca="1" t="shared" si="73"/>
        <v>(unmarked) Hospital Dr (SS)</v>
      </c>
      <c r="H326" t="e">
        <f t="shared" si="74"/>
        <v>#VALUE!</v>
      </c>
      <c r="I326" t="str">
        <f t="shared" si="75"/>
        <v>(unmarked) Hospital Dr (SS)</v>
      </c>
      <c r="J326">
        <f t="shared" si="76"/>
      </c>
    </row>
    <row r="327" spans="1:10" ht="15">
      <c r="A327">
        <f ca="1" t="shared" si="68"/>
        <v>5</v>
      </c>
      <c r="B327">
        <f ca="1" t="shared" si="69"/>
        <v>5</v>
      </c>
      <c r="C327" t="str">
        <f t="shared" si="70"/>
        <v>Seg5!</v>
      </c>
      <c r="D327">
        <f ca="1" t="shared" si="71"/>
        <v>630.38</v>
      </c>
      <c r="E327">
        <f t="shared" si="77"/>
        <v>633.6</v>
      </c>
      <c r="F327" t="str">
        <f ca="1" t="shared" si="72"/>
        <v> X</v>
      </c>
      <c r="G327" t="str">
        <f ca="1" t="shared" si="73"/>
        <v>(TFL) Rt 15 now on River Rd</v>
      </c>
      <c r="H327" t="e">
        <f t="shared" si="74"/>
        <v>#VALUE!</v>
      </c>
      <c r="I327" t="str">
        <f t="shared" si="75"/>
        <v>(TFL) Rt 15 now on River Rd</v>
      </c>
      <c r="J327">
        <f t="shared" si="76"/>
      </c>
    </row>
    <row r="328" spans="1:10" ht="15">
      <c r="A328">
        <f ca="1" t="shared" si="68"/>
        <v>5</v>
      </c>
      <c r="B328">
        <f ca="1" t="shared" si="69"/>
        <v>6</v>
      </c>
      <c r="C328" t="str">
        <f t="shared" si="70"/>
        <v>Seg5!</v>
      </c>
      <c r="D328">
        <f ca="1" t="shared" si="71"/>
        <v>631.16</v>
      </c>
      <c r="E328">
        <f t="shared" si="77"/>
        <v>634.4</v>
      </c>
      <c r="F328" t="str">
        <f ca="1" t="shared" si="72"/>
        <v> 1st L</v>
      </c>
      <c r="G328" t="str">
        <f ca="1" t="shared" si="73"/>
        <v>N Water St</v>
      </c>
      <c r="H328" t="e">
        <f t="shared" si="74"/>
        <v>#VALUE!</v>
      </c>
      <c r="I328" t="str">
        <f t="shared" si="75"/>
        <v>N Water St</v>
      </c>
      <c r="J328">
        <f t="shared" si="76"/>
      </c>
    </row>
    <row r="329" spans="1:10" ht="15">
      <c r="A329">
        <f ca="1" t="shared" si="68"/>
        <v>5</v>
      </c>
      <c r="B329">
        <f ca="1" t="shared" si="69"/>
        <v>7</v>
      </c>
      <c r="C329" t="str">
        <f t="shared" si="70"/>
        <v>Seg5!</v>
      </c>
      <c r="D329">
        <f ca="1" t="shared" si="71"/>
        <v>631.45</v>
      </c>
      <c r="E329">
        <f t="shared" si="77"/>
        <v>634.7</v>
      </c>
      <c r="F329" t="str">
        <f ca="1" t="shared" si="72"/>
        <v> L</v>
      </c>
      <c r="G329" t="str">
        <f ca="1" t="shared" si="73"/>
        <v>Market St / Rt 45</v>
      </c>
      <c r="H329" t="e">
        <f t="shared" si="74"/>
        <v>#VALUE!</v>
      </c>
      <c r="I329" t="str">
        <f t="shared" si="75"/>
        <v>Market St / Rt 45</v>
      </c>
      <c r="J329">
        <f t="shared" si="76"/>
      </c>
    </row>
    <row r="330" spans="1:10" ht="15">
      <c r="A330">
        <f ca="1" t="shared" si="68"/>
        <v>5</v>
      </c>
      <c r="B330">
        <f ca="1" t="shared" si="69"/>
        <v>8</v>
      </c>
      <c r="C330" t="str">
        <f t="shared" si="70"/>
        <v>Seg5!</v>
      </c>
      <c r="D330">
        <f ca="1" t="shared" si="71"/>
        <v>631.5</v>
      </c>
      <c r="E330">
        <f t="shared" si="77"/>
        <v>634.7</v>
      </c>
      <c r="F330" t="str">
        <f ca="1" t="shared" si="72"/>
        <v> X</v>
      </c>
      <c r="G330" t="str">
        <f ca="1" t="shared" si="73"/>
        <v>Susquehanna River bridge</v>
      </c>
      <c r="H330" t="e">
        <f t="shared" si="74"/>
        <v>#VALUE!</v>
      </c>
      <c r="I330" t="str">
        <f t="shared" si="75"/>
        <v>Susquehanna River bridge</v>
      </c>
      <c r="J330">
        <f t="shared" si="76"/>
      </c>
    </row>
    <row r="331" spans="1:10" ht="15">
      <c r="A331">
        <f ca="1" t="shared" si="68"/>
        <v>5</v>
      </c>
      <c r="B331">
        <f ca="1" t="shared" si="69"/>
        <v>9</v>
      </c>
      <c r="C331" t="str">
        <f t="shared" si="70"/>
        <v>Seg5!</v>
      </c>
      <c r="D331">
        <f ca="1" t="shared" si="71"/>
        <v>633.08</v>
      </c>
      <c r="E331">
        <f t="shared" si="77"/>
        <v>636.3</v>
      </c>
      <c r="F331" t="str">
        <f ca="1" t="shared" si="72"/>
        <v> R</v>
      </c>
      <c r="G331" t="str">
        <f ca="1" t="shared" si="73"/>
        <v>(TFL) Housels Run Rd {MiniMart}</v>
      </c>
      <c r="H331">
        <f t="shared" si="74"/>
        <v>22</v>
      </c>
      <c r="I331" t="str">
        <f t="shared" si="75"/>
        <v>(TFL) Housels Run Rd </v>
      </c>
      <c r="J331" t="str">
        <f t="shared" si="76"/>
        <v>MiniMart</v>
      </c>
    </row>
    <row r="332" spans="1:10" ht="15">
      <c r="A332">
        <f ca="1" t="shared" si="68"/>
        <v>5</v>
      </c>
      <c r="B332">
        <f ca="1" t="shared" si="69"/>
        <v>10</v>
      </c>
      <c r="C332" t="str">
        <f t="shared" si="70"/>
        <v>Seg5!</v>
      </c>
      <c r="D332">
        <f ca="1" t="shared" si="71"/>
        <v>634.82</v>
      </c>
      <c r="E332">
        <f t="shared" si="77"/>
        <v>638.1</v>
      </c>
      <c r="F332" t="str">
        <f ca="1" t="shared" si="72"/>
        <v> TL</v>
      </c>
      <c r="G332" t="str">
        <f ca="1" t="shared" si="73"/>
        <v>Rt 405</v>
      </c>
      <c r="H332" t="e">
        <f t="shared" si="74"/>
        <v>#VALUE!</v>
      </c>
      <c r="I332" t="str">
        <f t="shared" si="75"/>
        <v>Rt 405</v>
      </c>
      <c r="J332">
        <f t="shared" si="76"/>
      </c>
    </row>
    <row r="333" spans="1:10" ht="15">
      <c r="A333">
        <f ca="1" t="shared" si="68"/>
        <v>5</v>
      </c>
      <c r="B333">
        <f ca="1" t="shared" si="69"/>
        <v>11</v>
      </c>
      <c r="C333" t="str">
        <f t="shared" si="70"/>
        <v>Seg5!</v>
      </c>
      <c r="D333">
        <f ca="1" t="shared" si="71"/>
        <v>635.19</v>
      </c>
      <c r="E333">
        <f t="shared" si="77"/>
        <v>638.4</v>
      </c>
      <c r="F333" t="str">
        <f ca="1" t="shared" si="72"/>
        <v> T R</v>
      </c>
      <c r="G333" t="str">
        <f ca="1" t="shared" si="73"/>
        <v>Rt 147 South</v>
      </c>
      <c r="H333" t="e">
        <f t="shared" si="74"/>
        <v>#VALUE!</v>
      </c>
      <c r="I333" t="str">
        <f t="shared" si="75"/>
        <v>Rt 147 South</v>
      </c>
      <c r="J333">
        <f t="shared" si="76"/>
      </c>
    </row>
    <row r="334" spans="1:10" ht="15">
      <c r="A334">
        <f ca="1" t="shared" si="68"/>
        <v>5</v>
      </c>
      <c r="B334">
        <f ca="1" t="shared" si="69"/>
        <v>12</v>
      </c>
      <c r="C334" t="str">
        <f t="shared" si="70"/>
        <v>Seg5!</v>
      </c>
      <c r="D334">
        <f ca="1" t="shared" si="71"/>
        <v>639.93</v>
      </c>
      <c r="E334">
        <f t="shared" si="77"/>
        <v>643.2</v>
      </c>
      <c r="F334" t="str">
        <f ca="1" t="shared" si="72"/>
        <v> T L</v>
      </c>
      <c r="G334" t="str">
        <f ca="1" t="shared" si="73"/>
        <v>(TFL) TRO Rt 147 [Northumberland] {MiniMart Restaurant}</v>
      </c>
      <c r="H334">
        <f t="shared" si="74"/>
        <v>35</v>
      </c>
      <c r="I334" t="str">
        <f t="shared" si="75"/>
        <v>(TFL) TRO Rt 147 [Northumberland] </v>
      </c>
      <c r="J334" t="str">
        <f t="shared" si="76"/>
        <v>MiniMart Restaurant</v>
      </c>
    </row>
    <row r="335" spans="1:10" ht="15">
      <c r="A335">
        <f ca="1" t="shared" si="68"/>
        <v>5</v>
      </c>
      <c r="B335">
        <f ca="1" t="shared" si="69"/>
        <v>13</v>
      </c>
      <c r="C335" t="str">
        <f t="shared" si="70"/>
        <v>Seg5!</v>
      </c>
      <c r="D335">
        <f ca="1" t="shared" si="71"/>
        <v>640.09</v>
      </c>
      <c r="E335">
        <f t="shared" si="77"/>
        <v>643.4</v>
      </c>
      <c r="F335" t="str">
        <f ca="1" t="shared" si="72"/>
        <v> R</v>
      </c>
      <c r="G335" t="str">
        <f ca="1" t="shared" si="73"/>
        <v>(TFL) TRO Rt 147 / King St</v>
      </c>
      <c r="H335" t="e">
        <f t="shared" si="74"/>
        <v>#VALUE!</v>
      </c>
      <c r="I335" t="str">
        <f t="shared" si="75"/>
        <v>(TFL) TRO Rt 147 / King St</v>
      </c>
      <c r="J335">
        <f t="shared" si="76"/>
      </c>
    </row>
    <row r="336" spans="1:10" ht="15">
      <c r="A336">
        <f ca="1" t="shared" si="68"/>
        <v>5</v>
      </c>
      <c r="B336">
        <f ca="1" t="shared" si="69"/>
        <v>14</v>
      </c>
      <c r="C336" t="str">
        <f t="shared" si="70"/>
        <v>Seg5!</v>
      </c>
      <c r="D336">
        <f ca="1" t="shared" si="71"/>
        <v>640.9</v>
      </c>
      <c r="E336">
        <f t="shared" si="77"/>
        <v>644.2</v>
      </c>
      <c r="F336" t="str">
        <f ca="1" t="shared" si="72"/>
        <v> B R</v>
      </c>
      <c r="G336" t="str">
        <f ca="1" t="shared" si="73"/>
        <v>TRO Rt 147 (just after bridges) {MiniMart}</v>
      </c>
      <c r="H336">
        <f t="shared" si="74"/>
        <v>33</v>
      </c>
      <c r="I336" t="str">
        <f t="shared" si="75"/>
        <v>TRO Rt 147 (just after bridges) </v>
      </c>
      <c r="J336" t="str">
        <f t="shared" si="76"/>
        <v>MiniMart</v>
      </c>
    </row>
    <row r="337" spans="1:10" ht="15">
      <c r="A337">
        <f ca="1" t="shared" si="68"/>
        <v>5</v>
      </c>
      <c r="B337">
        <f ca="1" t="shared" si="69"/>
        <v>15</v>
      </c>
      <c r="C337" t="str">
        <f t="shared" si="70"/>
        <v>Seg5!</v>
      </c>
      <c r="D337">
        <f ca="1" t="shared" si="71"/>
        <v>643.29</v>
      </c>
      <c r="E337">
        <f t="shared" si="77"/>
        <v>646.6</v>
      </c>
      <c r="F337" t="str">
        <f ca="1" t="shared" si="72"/>
        <v> T R</v>
      </c>
      <c r="G337" t="str">
        <f ca="1" t="shared" si="73"/>
        <v>TRO Rt 147 [Sunbury]</v>
      </c>
      <c r="H337" t="e">
        <f t="shared" si="74"/>
        <v>#VALUE!</v>
      </c>
      <c r="I337" t="str">
        <f t="shared" si="75"/>
        <v>TRO Rt 147 [Sunbury]</v>
      </c>
      <c r="J337">
        <f t="shared" si="76"/>
      </c>
    </row>
    <row r="338" spans="1:10" ht="15">
      <c r="A338">
        <f ca="1" t="shared" si="68"/>
        <v>5</v>
      </c>
      <c r="B338">
        <f ca="1" t="shared" si="69"/>
        <v>16</v>
      </c>
      <c r="C338" t="str">
        <f t="shared" si="70"/>
        <v>Seg5!</v>
      </c>
      <c r="D338">
        <f ca="1" t="shared" si="71"/>
        <v>656.85</v>
      </c>
      <c r="E338">
        <f t="shared" si="77"/>
        <v>660.2</v>
      </c>
      <c r="F338" t="str">
        <f ca="1" t="shared" si="72"/>
        <v> STOP</v>
      </c>
      <c r="G338" t="str">
        <f ca="1" t="shared" si="73"/>
        <v>Controle Sunoco A-Plus Mart on left Jct Rt 147 / 225 (Answer info question on card) {MiniMart}</v>
      </c>
      <c r="H338">
        <f t="shared" si="74"/>
        <v>85</v>
      </c>
      <c r="I338" t="str">
        <f t="shared" si="75"/>
        <v>Controle Sunoco A-Plus Mart on left Jct Rt 147 / 225 (Answer info question on card) </v>
      </c>
      <c r="J338" t="str">
        <f t="shared" si="76"/>
        <v>MiniMart</v>
      </c>
    </row>
    <row r="339" spans="1:10" ht="15">
      <c r="A339">
        <f ca="1" t="shared" si="68"/>
        <v>5</v>
      </c>
      <c r="B339">
        <f ca="1" t="shared" si="69"/>
        <v>17</v>
      </c>
      <c r="C339" t="str">
        <f t="shared" si="70"/>
        <v>Seg5!</v>
      </c>
      <c r="D339">
        <f ca="1" t="shared" si="71"/>
        <v>656.89</v>
      </c>
      <c r="E339">
        <f t="shared" si="77"/>
        <v>660.3</v>
      </c>
      <c r="F339" t="str">
        <f ca="1" t="shared" si="72"/>
        <v> Continue</v>
      </c>
      <c r="G339" t="str">
        <f ca="1" t="shared" si="73"/>
        <v>Leave driveway turning left on Rt 225 North (same direction)</v>
      </c>
      <c r="H339" t="e">
        <f t="shared" si="74"/>
        <v>#VALUE!</v>
      </c>
      <c r="I339" t="str">
        <f t="shared" si="75"/>
        <v>Leave driveway turning left on Rt 225 North (same direction)</v>
      </c>
      <c r="J339">
        <f t="shared" si="76"/>
      </c>
    </row>
    <row r="340" spans="1:10" ht="15">
      <c r="A340">
        <f ca="1" t="shared" si="68"/>
        <v>6</v>
      </c>
      <c r="B340">
        <f ca="1" t="shared" si="69"/>
        <v>3</v>
      </c>
      <c r="C340" t="str">
        <f t="shared" si="70"/>
        <v>Seg6!</v>
      </c>
      <c r="D340">
        <f ca="1" t="shared" si="71"/>
        <v>657.03</v>
      </c>
      <c r="E340">
        <f t="shared" si="77"/>
        <v>660.4</v>
      </c>
      <c r="F340" t="str">
        <f ca="1" t="shared" si="72"/>
        <v> B L</v>
      </c>
      <c r="G340" t="str">
        <f ca="1" t="shared" si="73"/>
        <v>(SS) TRO Rt 225 North</v>
      </c>
      <c r="H340" t="e">
        <f t="shared" si="74"/>
        <v>#VALUE!</v>
      </c>
      <c r="I340" t="str">
        <f t="shared" si="75"/>
        <v>(SS) TRO Rt 225 North</v>
      </c>
      <c r="J340">
        <f t="shared" si="76"/>
      </c>
    </row>
    <row r="341" spans="1:10" ht="15">
      <c r="A341">
        <f ca="1" t="shared" si="68"/>
        <v>6</v>
      </c>
      <c r="B341">
        <f ca="1" t="shared" si="69"/>
        <v>4</v>
      </c>
      <c r="C341" t="str">
        <f t="shared" si="70"/>
        <v>Seg6!</v>
      </c>
      <c r="D341">
        <f ca="1" t="shared" si="71"/>
        <v>659.24</v>
      </c>
      <c r="E341">
        <f t="shared" si="77"/>
        <v>662.6</v>
      </c>
      <c r="F341" t="str">
        <f ca="1" t="shared" si="72"/>
        <v> R</v>
      </c>
      <c r="G341" t="str">
        <f ca="1" t="shared" si="73"/>
        <v>Rt 3003 /  Hooflander Rd.."Urban 2".."Citgo" {MiniMart Limited services ahead}</v>
      </c>
      <c r="H341">
        <f t="shared" si="74"/>
        <v>46</v>
      </c>
      <c r="I341" t="str">
        <f t="shared" si="75"/>
        <v>Rt 3003 /  Hooflander Rd.."Urban 2".."Citgo" </v>
      </c>
      <c r="J341" t="str">
        <f t="shared" si="76"/>
        <v>MiniMart Limited services ahead</v>
      </c>
    </row>
    <row r="342" spans="1:10" ht="15">
      <c r="A342">
        <f ca="1" t="shared" si="68"/>
        <v>6</v>
      </c>
      <c r="B342">
        <f ca="1" t="shared" si="69"/>
        <v>5</v>
      </c>
      <c r="C342" t="str">
        <f t="shared" si="70"/>
        <v>Seg6!</v>
      </c>
      <c r="D342">
        <f ca="1" t="shared" si="71"/>
        <v>660.5</v>
      </c>
      <c r="E342">
        <f t="shared" si="77"/>
        <v>663.9</v>
      </c>
      <c r="F342" t="str">
        <f ca="1" t="shared" si="72"/>
        <v> B L</v>
      </c>
      <c r="G342" t="str">
        <f ca="1" t="shared" si="73"/>
        <v>FMR TRO (unmarked) Rt 3003..follow double yellow lines...Jct Urban School House Rd</v>
      </c>
      <c r="H342" t="e">
        <f t="shared" si="74"/>
        <v>#VALUE!</v>
      </c>
      <c r="I342" t="str">
        <f t="shared" si="75"/>
        <v>FMR TRO (unmarked) Rt 3003..follow double yellow lines...Jct Urban School House Rd</v>
      </c>
      <c r="J342">
        <f t="shared" si="76"/>
      </c>
    </row>
    <row r="343" spans="1:10" ht="15">
      <c r="A343">
        <f ca="1" t="shared" si="68"/>
        <v>6</v>
      </c>
      <c r="B343">
        <f ca="1" t="shared" si="69"/>
        <v>6</v>
      </c>
      <c r="C343" t="str">
        <f t="shared" si="70"/>
        <v>Seg6!</v>
      </c>
      <c r="D343">
        <f ca="1" t="shared" si="71"/>
        <v>660.75</v>
      </c>
      <c r="E343">
        <f t="shared" si="77"/>
        <v>664.1</v>
      </c>
      <c r="F343" t="str">
        <f ca="1" t="shared" si="72"/>
        <v> Straight</v>
      </c>
      <c r="G343" t="str">
        <f ca="1" t="shared" si="73"/>
        <v>Joining Rt 3016 (which also goes right here).."Klingerstown 6"</v>
      </c>
      <c r="H343" t="e">
        <f t="shared" si="74"/>
        <v>#VALUE!</v>
      </c>
      <c r="I343" t="str">
        <f t="shared" si="75"/>
        <v>Joining Rt 3016 (which also goes right here).."Klingerstown 6"</v>
      </c>
      <c r="J343">
        <f t="shared" si="76"/>
      </c>
    </row>
    <row r="344" spans="1:10" ht="15">
      <c r="A344">
        <f ca="1" t="shared" si="68"/>
        <v>6</v>
      </c>
      <c r="B344">
        <f ca="1" t="shared" si="69"/>
        <v>7</v>
      </c>
      <c r="C344" t="str">
        <f t="shared" si="70"/>
        <v>Seg6!</v>
      </c>
      <c r="D344">
        <f ca="1" t="shared" si="71"/>
        <v>665.36</v>
      </c>
      <c r="E344">
        <f t="shared" si="77"/>
        <v>668.8</v>
      </c>
      <c r="F344" t="str">
        <f ca="1" t="shared" si="72"/>
        <v> T L</v>
      </c>
      <c r="G344" t="str">
        <f ca="1" t="shared" si="73"/>
        <v>Rt 3018</v>
      </c>
      <c r="H344" t="e">
        <f t="shared" si="74"/>
        <v>#VALUE!</v>
      </c>
      <c r="I344" t="str">
        <f t="shared" si="75"/>
        <v>Rt 3018</v>
      </c>
      <c r="J344">
        <f t="shared" si="76"/>
      </c>
    </row>
    <row r="345" spans="1:10" ht="15">
      <c r="A345">
        <f ca="1" t="shared" si="68"/>
        <v>6</v>
      </c>
      <c r="B345">
        <f ca="1" t="shared" si="69"/>
        <v>8</v>
      </c>
      <c r="C345" t="str">
        <f t="shared" si="70"/>
        <v>Seg6!</v>
      </c>
      <c r="D345">
        <f ca="1" t="shared" si="71"/>
        <v>667.1999999999999</v>
      </c>
      <c r="E345">
        <f t="shared" si="77"/>
        <v>670.6</v>
      </c>
      <c r="F345" t="str">
        <f ca="1" t="shared" si="72"/>
        <v> L</v>
      </c>
      <c r="G345" t="str">
        <f ca="1" t="shared" si="73"/>
        <v>(SS) Fearnot Rd / Rt 1024 [Erdman]</v>
      </c>
      <c r="H345" t="e">
        <f t="shared" si="74"/>
        <v>#VALUE!</v>
      </c>
      <c r="I345" t="str">
        <f t="shared" si="75"/>
        <v>(SS) Fearnot Rd / Rt 1024 [Erdman]</v>
      </c>
      <c r="J345">
        <f t="shared" si="76"/>
      </c>
    </row>
    <row r="346" spans="1:10" ht="15">
      <c r="A346">
        <f ca="1" t="shared" si="68"/>
        <v>6</v>
      </c>
      <c r="B346">
        <f ca="1" t="shared" si="69"/>
        <v>9</v>
      </c>
      <c r="C346" t="str">
        <f t="shared" si="70"/>
        <v>Seg6!</v>
      </c>
      <c r="D346">
        <f ca="1" t="shared" si="71"/>
        <v>672.41</v>
      </c>
      <c r="E346">
        <f t="shared" si="77"/>
        <v>675.9</v>
      </c>
      <c r="F346" t="str">
        <f ca="1" t="shared" si="72"/>
        <v> T L</v>
      </c>
      <c r="G346" t="str">
        <f ca="1" t="shared" si="73"/>
        <v>Rt 25</v>
      </c>
      <c r="H346" t="e">
        <f t="shared" si="74"/>
        <v>#VALUE!</v>
      </c>
      <c r="I346" t="str">
        <f t="shared" si="75"/>
        <v>Rt 25</v>
      </c>
      <c r="J346">
        <f t="shared" si="76"/>
      </c>
    </row>
    <row r="347" spans="1:10" ht="15">
      <c r="A347">
        <f ca="1" t="shared" si="68"/>
        <v>6</v>
      </c>
      <c r="B347">
        <f ca="1" t="shared" si="69"/>
        <v>10</v>
      </c>
      <c r="C347" t="str">
        <f t="shared" si="70"/>
        <v>Seg6!</v>
      </c>
      <c r="D347">
        <f ca="1" t="shared" si="71"/>
        <v>673.13</v>
      </c>
      <c r="E347">
        <f t="shared" si="77"/>
        <v>676.6</v>
      </c>
      <c r="F347" t="str">
        <f ca="1" t="shared" si="72"/>
        <v> *** BR</v>
      </c>
      <c r="G347" t="str">
        <f ca="1" t="shared" si="73"/>
        <v>Rt 4013 / Schwenks Rd..just past "Traci's Place" (closed on Sunday)</v>
      </c>
      <c r="H347" t="e">
        <f t="shared" si="74"/>
        <v>#VALUE!</v>
      </c>
      <c r="I347" t="str">
        <f t="shared" si="75"/>
        <v>Rt 4013 / Schwenks Rd..just past "Traci's Place" (closed on Sunday)</v>
      </c>
      <c r="J347">
        <f t="shared" si="76"/>
      </c>
    </row>
    <row r="348" spans="1:10" ht="15">
      <c r="A348">
        <f aca="true" ca="1" t="shared" si="78" ref="A348:A406">IF(INDIRECT($C347&amp;"A"&amp;$B347+1)&lt;&gt;"",A347,A347+1)</f>
        <v>6</v>
      </c>
      <c r="B348">
        <f aca="true" ca="1" t="shared" si="79" ref="B348:B406">IF(INDIRECT($C347&amp;"A"&amp;$B347+1)&lt;&gt;"",B347+1,3)</f>
        <v>11</v>
      </c>
      <c r="C348" t="str">
        <f aca="true" t="shared" si="80" ref="C348:C406">"Seg"&amp;A348&amp;"!"</f>
        <v>Seg6!</v>
      </c>
      <c r="D348">
        <f ca="1" t="shared" si="71"/>
        <v>674.98</v>
      </c>
      <c r="E348">
        <f t="shared" si="77"/>
        <v>678.4</v>
      </c>
      <c r="F348" t="str">
        <f ca="1" t="shared" si="72"/>
        <v> T R</v>
      </c>
      <c r="G348" t="str">
        <f ca="1" t="shared" si="73"/>
        <v>Gap St / Rt 4011</v>
      </c>
      <c r="H348" t="e">
        <f t="shared" si="74"/>
        <v>#VALUE!</v>
      </c>
      <c r="I348" t="str">
        <f t="shared" si="75"/>
        <v>Gap St / Rt 4011</v>
      </c>
      <c r="J348">
        <f t="shared" si="76"/>
      </c>
    </row>
    <row r="349" spans="1:10" ht="15">
      <c r="A349">
        <f ca="1" t="shared" si="78"/>
        <v>6</v>
      </c>
      <c r="B349">
        <f ca="1" t="shared" si="79"/>
        <v>12</v>
      </c>
      <c r="C349" t="str">
        <f t="shared" si="80"/>
        <v>Seg6!</v>
      </c>
      <c r="D349">
        <f ca="1" t="shared" si="71"/>
        <v>678.3</v>
      </c>
      <c r="E349">
        <f t="shared" si="77"/>
        <v>681.8</v>
      </c>
      <c r="F349" t="str">
        <f ca="1" t="shared" si="72"/>
        <v> X</v>
      </c>
      <c r="G349" t="str">
        <f ca="1" t="shared" si="73"/>
        <v>RR Tracks (Caution)</v>
      </c>
      <c r="H349" t="e">
        <f t="shared" si="74"/>
        <v>#VALUE!</v>
      </c>
      <c r="I349" t="str">
        <f t="shared" si="75"/>
        <v>RR Tracks (Caution)</v>
      </c>
      <c r="J349">
        <f t="shared" si="76"/>
      </c>
    </row>
    <row r="350" spans="1:10" ht="15">
      <c r="A350">
        <f ca="1" t="shared" si="78"/>
        <v>6</v>
      </c>
      <c r="B350">
        <f ca="1" t="shared" si="79"/>
        <v>13</v>
      </c>
      <c r="C350" t="str">
        <f t="shared" si="80"/>
        <v>Seg6!</v>
      </c>
      <c r="D350">
        <f ca="1" t="shared" si="71"/>
        <v>679.04</v>
      </c>
      <c r="E350">
        <f t="shared" si="77"/>
        <v>682.5</v>
      </c>
      <c r="F350" t="str">
        <f ca="1" t="shared" si="72"/>
        <v> R</v>
      </c>
      <c r="G350" t="str">
        <f ca="1" t="shared" si="73"/>
        <v>(SS) Main St (Rt 125 goes straight) [Good Springs]</v>
      </c>
      <c r="H350" t="e">
        <f t="shared" si="74"/>
        <v>#VALUE!</v>
      </c>
      <c r="I350" t="str">
        <f t="shared" si="75"/>
        <v>(SS) Main St (Rt 125 goes straight) [Good Springs]</v>
      </c>
      <c r="J350">
        <f t="shared" si="76"/>
      </c>
    </row>
    <row r="351" spans="1:10" ht="15">
      <c r="A351">
        <f ca="1" t="shared" si="78"/>
        <v>6</v>
      </c>
      <c r="B351">
        <f ca="1" t="shared" si="79"/>
        <v>14</v>
      </c>
      <c r="C351" t="str">
        <f t="shared" si="80"/>
        <v>Seg6!</v>
      </c>
      <c r="D351">
        <f ca="1" t="shared" si="71"/>
        <v>679.15</v>
      </c>
      <c r="E351">
        <f t="shared" si="77"/>
        <v>682.6</v>
      </c>
      <c r="F351" t="str">
        <f ca="1" t="shared" si="72"/>
        <v> X</v>
      </c>
      <c r="G351" t="str">
        <f ca="1" t="shared" si="73"/>
        <v>RR Tracks (Caution: Bad angle - WALK BIKE)</v>
      </c>
      <c r="H351" t="e">
        <f t="shared" si="74"/>
        <v>#VALUE!</v>
      </c>
      <c r="I351" t="str">
        <f t="shared" si="75"/>
        <v>RR Tracks (Caution: Bad angle - WALK BIKE)</v>
      </c>
      <c r="J351">
        <f t="shared" si="76"/>
      </c>
    </row>
    <row r="352" spans="1:10" ht="15">
      <c r="A352">
        <f ca="1" t="shared" si="78"/>
        <v>6</v>
      </c>
      <c r="B352">
        <f ca="1" t="shared" si="79"/>
        <v>15</v>
      </c>
      <c r="C352" t="str">
        <f t="shared" si="80"/>
        <v>Seg6!</v>
      </c>
      <c r="D352">
        <f ca="1" t="shared" si="71"/>
        <v>681.23</v>
      </c>
      <c r="E352">
        <f t="shared" si="77"/>
        <v>684.7</v>
      </c>
      <c r="F352" t="str">
        <f ca="1" t="shared" si="72"/>
        <v> X</v>
      </c>
      <c r="G352" t="str">
        <f ca="1" t="shared" si="73"/>
        <v>(SS) Rt 209</v>
      </c>
      <c r="H352" t="e">
        <f t="shared" si="74"/>
        <v>#VALUE!</v>
      </c>
      <c r="I352" t="str">
        <f t="shared" si="75"/>
        <v>(SS) Rt 209</v>
      </c>
      <c r="J352">
        <f t="shared" si="76"/>
      </c>
    </row>
    <row r="353" spans="1:10" ht="15">
      <c r="A353">
        <f ca="1" t="shared" si="78"/>
        <v>6</v>
      </c>
      <c r="B353">
        <f ca="1" t="shared" si="79"/>
        <v>16</v>
      </c>
      <c r="C353" t="str">
        <f t="shared" si="80"/>
        <v>Seg6!</v>
      </c>
      <c r="D353">
        <f ca="1" t="shared" si="71"/>
        <v>681.29</v>
      </c>
      <c r="E353">
        <f t="shared" si="77"/>
        <v>684.8</v>
      </c>
      <c r="F353" t="str">
        <f ca="1" t="shared" si="72"/>
        <v> Q BR</v>
      </c>
      <c r="G353" t="str">
        <f ca="1" t="shared" si="73"/>
        <v>TRO Main St (b/c Molleystown Rd)</v>
      </c>
      <c r="H353" t="e">
        <f t="shared" si="74"/>
        <v>#VALUE!</v>
      </c>
      <c r="I353" t="str">
        <f t="shared" si="75"/>
        <v>TRO Main St (b/c Molleystown Rd)</v>
      </c>
      <c r="J353">
        <f t="shared" si="76"/>
      </c>
    </row>
    <row r="354" spans="1:10" ht="15">
      <c r="A354">
        <f ca="1" t="shared" si="78"/>
        <v>6</v>
      </c>
      <c r="B354">
        <f ca="1" t="shared" si="79"/>
        <v>17</v>
      </c>
      <c r="C354" t="str">
        <f t="shared" si="80"/>
        <v>Seg6!</v>
      </c>
      <c r="D354">
        <f ca="1" t="shared" si="71"/>
        <v>681.86</v>
      </c>
      <c r="E354">
        <f t="shared" si="77"/>
        <v>685.4</v>
      </c>
      <c r="F354" t="str">
        <f ca="1" t="shared" si="72"/>
        <v> X / Caution</v>
      </c>
      <c r="G354" t="str">
        <f ca="1" t="shared" si="73"/>
        <v>'Top of Climb'..steep descents..stay on Molleystown Rd..FMR to bottom</v>
      </c>
      <c r="H354" t="e">
        <f t="shared" si="74"/>
        <v>#VALUE!</v>
      </c>
      <c r="I354" t="str">
        <f t="shared" si="75"/>
        <v>'Top of Climb'..steep descents..stay on Molleystown Rd..FMR to bottom</v>
      </c>
      <c r="J354">
        <f t="shared" si="76"/>
      </c>
    </row>
    <row r="355" spans="1:10" ht="15">
      <c r="A355">
        <f ca="1" t="shared" si="78"/>
        <v>6</v>
      </c>
      <c r="B355">
        <f ca="1" t="shared" si="79"/>
        <v>18</v>
      </c>
      <c r="C355" t="str">
        <f t="shared" si="80"/>
        <v>Seg6!</v>
      </c>
      <c r="D355">
        <f ca="1" t="shared" si="71"/>
        <v>685.36</v>
      </c>
      <c r="E355">
        <f t="shared" si="77"/>
        <v>688.9</v>
      </c>
      <c r="F355" t="str">
        <f ca="1" t="shared" si="72"/>
        <v> T R</v>
      </c>
      <c r="G355" t="str">
        <f ca="1" t="shared" si="73"/>
        <v>Rt 125 {MiniMart just before turn}</v>
      </c>
      <c r="H355">
        <f t="shared" si="74"/>
        <v>8</v>
      </c>
      <c r="I355" t="str">
        <f t="shared" si="75"/>
        <v>Rt 125 </v>
      </c>
      <c r="J355" t="str">
        <f t="shared" si="76"/>
        <v>MiniMart just before turn</v>
      </c>
    </row>
    <row r="356" spans="1:10" ht="15">
      <c r="A356">
        <f ca="1" t="shared" si="78"/>
        <v>6</v>
      </c>
      <c r="B356">
        <f ca="1" t="shared" si="79"/>
        <v>19</v>
      </c>
      <c r="C356" t="str">
        <f t="shared" si="80"/>
        <v>Seg6!</v>
      </c>
      <c r="D356">
        <f ca="1" t="shared" si="71"/>
        <v>688.34</v>
      </c>
      <c r="E356">
        <f t="shared" si="77"/>
        <v>691.9</v>
      </c>
      <c r="F356" t="str">
        <f ca="1" t="shared" si="72"/>
        <v> Straight</v>
      </c>
      <c r="G356" t="str">
        <f ca="1" t="shared" si="73"/>
        <v>Joining Rt 443 [Pine Grove] {MiniMart Restaurant}</v>
      </c>
      <c r="H356">
        <f t="shared" si="74"/>
        <v>29</v>
      </c>
      <c r="I356" t="str">
        <f t="shared" si="75"/>
        <v>Joining Rt 443 [Pine Grove] </v>
      </c>
      <c r="J356" t="str">
        <f t="shared" si="76"/>
        <v>MiniMart Restaurant</v>
      </c>
    </row>
    <row r="357" spans="1:10" ht="15">
      <c r="A357">
        <f ca="1" t="shared" si="78"/>
        <v>6</v>
      </c>
      <c r="B357">
        <f ca="1" t="shared" si="79"/>
        <v>20</v>
      </c>
      <c r="C357" t="str">
        <f t="shared" si="80"/>
        <v>Seg6!</v>
      </c>
      <c r="D357">
        <f ca="1" t="shared" si="71"/>
        <v>688.85</v>
      </c>
      <c r="E357">
        <f t="shared" si="77"/>
        <v>692.4</v>
      </c>
      <c r="F357" t="str">
        <f ca="1" t="shared" si="72"/>
        <v> L</v>
      </c>
      <c r="G357" t="str">
        <f ca="1" t="shared" si="73"/>
        <v>Rt 895</v>
      </c>
      <c r="H357" t="e">
        <f t="shared" si="74"/>
        <v>#VALUE!</v>
      </c>
      <c r="I357" t="str">
        <f t="shared" si="75"/>
        <v>Rt 895</v>
      </c>
      <c r="J357">
        <f t="shared" si="76"/>
      </c>
    </row>
    <row r="358" spans="1:10" ht="15">
      <c r="A358">
        <f ca="1" t="shared" si="78"/>
        <v>6</v>
      </c>
      <c r="B358">
        <f ca="1" t="shared" si="79"/>
        <v>21</v>
      </c>
      <c r="C358" t="str">
        <f t="shared" si="80"/>
        <v>Seg6!</v>
      </c>
      <c r="D358">
        <f ca="1" t="shared" si="71"/>
        <v>689.46</v>
      </c>
      <c r="E358">
        <f t="shared" si="77"/>
        <v>693</v>
      </c>
      <c r="F358" t="str">
        <f ca="1" t="shared" si="72"/>
        <v> R</v>
      </c>
      <c r="G358" t="str">
        <f ca="1" t="shared" si="73"/>
        <v>Rt 501</v>
      </c>
      <c r="H358" t="e">
        <f t="shared" si="74"/>
        <v>#VALUE!</v>
      </c>
      <c r="I358" t="str">
        <f t="shared" si="75"/>
        <v>Rt 501</v>
      </c>
      <c r="J358">
        <f t="shared" si="76"/>
      </c>
    </row>
    <row r="359" spans="1:10" ht="15">
      <c r="A359">
        <f ca="1" t="shared" si="78"/>
        <v>6</v>
      </c>
      <c r="B359">
        <f ca="1" t="shared" si="79"/>
        <v>22</v>
      </c>
      <c r="C359" t="str">
        <f t="shared" si="80"/>
        <v>Seg6!</v>
      </c>
      <c r="D359">
        <f ca="1" t="shared" si="71"/>
        <v>690</v>
      </c>
      <c r="E359">
        <f t="shared" si="77"/>
        <v>693.5</v>
      </c>
      <c r="F359" t="str">
        <f ca="1" t="shared" si="72"/>
        <v> R</v>
      </c>
      <c r="G359" t="str">
        <f ca="1" t="shared" si="73"/>
        <v>Mexico Rd / Brookside Ct</v>
      </c>
      <c r="H359" t="e">
        <f t="shared" si="74"/>
        <v>#VALUE!</v>
      </c>
      <c r="I359" t="str">
        <f t="shared" si="75"/>
        <v>Mexico Rd / Brookside Ct</v>
      </c>
      <c r="J359">
        <f t="shared" si="76"/>
      </c>
    </row>
    <row r="360" spans="1:10" ht="15">
      <c r="A360">
        <f ca="1" t="shared" si="78"/>
        <v>6</v>
      </c>
      <c r="B360">
        <f ca="1" t="shared" si="79"/>
        <v>23</v>
      </c>
      <c r="C360" t="str">
        <f t="shared" si="80"/>
        <v>Seg6!</v>
      </c>
      <c r="D360">
        <f ca="1" t="shared" si="71"/>
        <v>690.45</v>
      </c>
      <c r="E360">
        <f t="shared" si="77"/>
        <v>694</v>
      </c>
      <c r="F360" t="str">
        <f ca="1" t="shared" si="72"/>
        <v> T L</v>
      </c>
      <c r="G360" t="str">
        <f ca="1" t="shared" si="73"/>
        <v>Rt 645</v>
      </c>
      <c r="H360" t="e">
        <f t="shared" si="74"/>
        <v>#VALUE!</v>
      </c>
      <c r="I360" t="str">
        <f t="shared" si="75"/>
        <v>Rt 645</v>
      </c>
      <c r="J360">
        <f t="shared" si="76"/>
      </c>
    </row>
    <row r="361" spans="1:10" ht="15">
      <c r="A361">
        <f ca="1" t="shared" si="78"/>
        <v>6</v>
      </c>
      <c r="B361">
        <f ca="1" t="shared" si="79"/>
        <v>24</v>
      </c>
      <c r="C361" t="str">
        <f t="shared" si="80"/>
        <v>Seg6!</v>
      </c>
      <c r="D361">
        <f ca="1" t="shared" si="71"/>
        <v>692.49</v>
      </c>
      <c r="E361">
        <f t="shared" si="77"/>
        <v>696</v>
      </c>
      <c r="F361" t="str">
        <f ca="1" t="shared" si="72"/>
        <v> X</v>
      </c>
      <c r="G361" t="str">
        <f ca="1" t="shared" si="73"/>
        <v>Applachian Trail Caution: Steep twisty descent ahead</v>
      </c>
      <c r="H361" t="e">
        <f t="shared" si="74"/>
        <v>#VALUE!</v>
      </c>
      <c r="I361" t="str">
        <f t="shared" si="75"/>
        <v>Applachian Trail Caution: Steep twisty descent ahead</v>
      </c>
      <c r="J361">
        <f t="shared" si="76"/>
      </c>
    </row>
    <row r="362" spans="1:10" ht="15">
      <c r="A362">
        <f ca="1" t="shared" si="78"/>
        <v>6</v>
      </c>
      <c r="B362">
        <f ca="1" t="shared" si="79"/>
        <v>25</v>
      </c>
      <c r="C362" t="str">
        <f t="shared" si="80"/>
        <v>Seg6!</v>
      </c>
      <c r="D362">
        <f ca="1" t="shared" si="71"/>
        <v>693.18</v>
      </c>
      <c r="E362">
        <f t="shared" si="77"/>
        <v>696.7</v>
      </c>
      <c r="F362" t="str">
        <f ca="1" t="shared" si="72"/>
        <v> T L</v>
      </c>
      <c r="G362" t="str">
        <f ca="1" t="shared" si="73"/>
        <v>TRO Rt 645</v>
      </c>
      <c r="H362" t="e">
        <f t="shared" si="74"/>
        <v>#VALUE!</v>
      </c>
      <c r="I362" t="str">
        <f t="shared" si="75"/>
        <v>TRO Rt 645</v>
      </c>
      <c r="J362">
        <f t="shared" si="76"/>
      </c>
    </row>
    <row r="363" spans="1:10" ht="15">
      <c r="A363">
        <f ca="1" t="shared" si="78"/>
        <v>6</v>
      </c>
      <c r="B363">
        <f ca="1" t="shared" si="79"/>
        <v>26</v>
      </c>
      <c r="C363" t="str">
        <f t="shared" si="80"/>
        <v>Seg6!</v>
      </c>
      <c r="D363">
        <f ca="1" t="shared" si="71"/>
        <v>697.22</v>
      </c>
      <c r="E363">
        <f t="shared" si="77"/>
        <v>700.8</v>
      </c>
      <c r="F363" t="str">
        <f ca="1" t="shared" si="72"/>
        <v> STOP</v>
      </c>
      <c r="G363" t="str">
        <f ca="1" t="shared" si="73"/>
        <v>Controle Flying-J Truck Stop (on right) {Truck Stop Restaurant}</v>
      </c>
      <c r="H363">
        <f t="shared" si="74"/>
        <v>41</v>
      </c>
      <c r="I363" t="str">
        <f t="shared" si="75"/>
        <v>Controle Flying-J Truck Stop (on right) </v>
      </c>
      <c r="J363" t="str">
        <f t="shared" si="76"/>
        <v>Truck Stop Restaurant</v>
      </c>
    </row>
    <row r="364" spans="1:10" ht="15">
      <c r="A364">
        <f ca="1" t="shared" si="78"/>
        <v>6</v>
      </c>
      <c r="B364">
        <f ca="1" t="shared" si="79"/>
        <v>27</v>
      </c>
      <c r="C364" t="str">
        <f t="shared" si="80"/>
        <v>Seg6!</v>
      </c>
      <c r="D364">
        <f ca="1" t="shared" si="71"/>
        <v>697.24</v>
      </c>
      <c r="E364">
        <f t="shared" si="77"/>
        <v>700.8</v>
      </c>
      <c r="F364" t="str">
        <f ca="1" t="shared" si="72"/>
        <v> Continue</v>
      </c>
      <c r="G364" t="str">
        <f ca="1" t="shared" si="73"/>
        <v>Leave driveway turning right on Rt 645 (same direction)</v>
      </c>
      <c r="H364" t="e">
        <f t="shared" si="74"/>
        <v>#VALUE!</v>
      </c>
      <c r="I364" t="str">
        <f t="shared" si="75"/>
        <v>Leave driveway turning right on Rt 645 (same direction)</v>
      </c>
      <c r="J364">
        <f t="shared" si="76"/>
      </c>
    </row>
    <row r="365" spans="1:10" ht="15">
      <c r="A365">
        <f ca="1" t="shared" si="78"/>
        <v>6</v>
      </c>
      <c r="B365">
        <f ca="1" t="shared" si="79"/>
        <v>28</v>
      </c>
      <c r="C365" t="str">
        <f t="shared" si="80"/>
        <v>Seg6!</v>
      </c>
      <c r="D365">
        <f ca="1" t="shared" si="71"/>
        <v>698.3</v>
      </c>
      <c r="E365">
        <f t="shared" si="77"/>
        <v>701.9</v>
      </c>
      <c r="F365" t="str">
        <f ca="1" t="shared" si="72"/>
        <v> L</v>
      </c>
      <c r="G365" t="str">
        <f ca="1" t="shared" si="73"/>
        <v>(TFL) Frystown Rd</v>
      </c>
      <c r="H365" t="e">
        <f t="shared" si="74"/>
        <v>#VALUE!</v>
      </c>
      <c r="I365" t="str">
        <f t="shared" si="75"/>
        <v>(TFL) Frystown Rd</v>
      </c>
      <c r="J365">
        <f t="shared" si="76"/>
      </c>
    </row>
    <row r="366" spans="1:10" ht="15">
      <c r="A366">
        <f ca="1" t="shared" si="78"/>
        <v>6</v>
      </c>
      <c r="B366">
        <f ca="1" t="shared" si="79"/>
        <v>29</v>
      </c>
      <c r="C366" t="str">
        <f t="shared" si="80"/>
        <v>Seg6!</v>
      </c>
      <c r="D366">
        <f ca="1" t="shared" si="71"/>
        <v>700.0799999999999</v>
      </c>
      <c r="E366">
        <f t="shared" si="77"/>
        <v>703.7</v>
      </c>
      <c r="F366" t="str">
        <f ca="1" t="shared" si="72"/>
        <v> T L</v>
      </c>
      <c r="G366" t="str">
        <f ca="1" t="shared" si="73"/>
        <v>(SS) Rt 501</v>
      </c>
      <c r="H366" t="e">
        <f t="shared" si="74"/>
        <v>#VALUE!</v>
      </c>
      <c r="I366" t="str">
        <f t="shared" si="75"/>
        <v>(SS) Rt 501</v>
      </c>
      <c r="J366">
        <f t="shared" si="76"/>
      </c>
    </row>
    <row r="367" spans="1:10" ht="15">
      <c r="A367">
        <f ca="1" t="shared" si="78"/>
        <v>6</v>
      </c>
      <c r="B367">
        <f ca="1" t="shared" si="79"/>
        <v>30</v>
      </c>
      <c r="C367" t="str">
        <f t="shared" si="80"/>
        <v>Seg6!</v>
      </c>
      <c r="D367">
        <f ca="1" t="shared" si="71"/>
        <v>701.01</v>
      </c>
      <c r="E367">
        <f t="shared" si="77"/>
        <v>704.6</v>
      </c>
      <c r="F367" t="str">
        <f ca="1" t="shared" si="72"/>
        <v> Straight</v>
      </c>
      <c r="G367" t="str">
        <f ca="1" t="shared" si="73"/>
        <v>(TFL) Rehrersburg Rd (leaving Rt 501 which goes left)</v>
      </c>
      <c r="H367" t="e">
        <f t="shared" si="74"/>
        <v>#VALUE!</v>
      </c>
      <c r="I367" t="str">
        <f t="shared" si="75"/>
        <v>(TFL) Rehrersburg Rd (leaving Rt 501 which goes left)</v>
      </c>
      <c r="J367">
        <f t="shared" si="76"/>
      </c>
    </row>
    <row r="368" spans="1:10" ht="15">
      <c r="A368">
        <f ca="1" t="shared" si="78"/>
        <v>6</v>
      </c>
      <c r="B368">
        <f ca="1" t="shared" si="79"/>
        <v>31</v>
      </c>
      <c r="C368" t="str">
        <f t="shared" si="80"/>
        <v>Seg6!</v>
      </c>
      <c r="D368">
        <f ca="1" t="shared" si="71"/>
        <v>701.24</v>
      </c>
      <c r="E368">
        <f t="shared" si="77"/>
        <v>704.8</v>
      </c>
      <c r="F368" t="str">
        <f ca="1" t="shared" si="72"/>
        <v> R</v>
      </c>
      <c r="G368" t="str">
        <f ca="1" t="shared" si="73"/>
        <v>Wintersville Rd</v>
      </c>
      <c r="H368" t="e">
        <f t="shared" si="74"/>
        <v>#VALUE!</v>
      </c>
      <c r="I368" t="str">
        <f t="shared" si="75"/>
        <v>Wintersville Rd</v>
      </c>
      <c r="J368">
        <f t="shared" si="76"/>
      </c>
    </row>
    <row r="369" spans="1:10" ht="15">
      <c r="A369">
        <f ca="1" t="shared" si="78"/>
        <v>6</v>
      </c>
      <c r="B369">
        <f ca="1" t="shared" si="79"/>
        <v>32</v>
      </c>
      <c r="C369" t="str">
        <f t="shared" si="80"/>
        <v>Seg6!</v>
      </c>
      <c r="D369">
        <f ca="1" t="shared" si="71"/>
        <v>702.7</v>
      </c>
      <c r="E369">
        <f t="shared" si="77"/>
        <v>706.3</v>
      </c>
      <c r="F369" t="str">
        <f ca="1" t="shared" si="72"/>
        <v> 2nd L</v>
      </c>
      <c r="G369" t="str">
        <f ca="1" t="shared" si="73"/>
        <v>Kurr Rd</v>
      </c>
      <c r="H369" t="e">
        <f t="shared" si="74"/>
        <v>#VALUE!</v>
      </c>
      <c r="I369" t="str">
        <f t="shared" si="75"/>
        <v>Kurr Rd</v>
      </c>
      <c r="J369">
        <f t="shared" si="76"/>
      </c>
    </row>
    <row r="370" spans="1:10" ht="15">
      <c r="A370">
        <f ca="1" t="shared" si="78"/>
        <v>6</v>
      </c>
      <c r="B370">
        <f ca="1" t="shared" si="79"/>
        <v>33</v>
      </c>
      <c r="C370" t="str">
        <f t="shared" si="80"/>
        <v>Seg6!</v>
      </c>
      <c r="D370">
        <f ca="1" t="shared" si="71"/>
        <v>703.49</v>
      </c>
      <c r="E370">
        <f t="shared" si="77"/>
        <v>707.1</v>
      </c>
      <c r="F370" t="str">
        <f ca="1" t="shared" si="72"/>
        <v> BL</v>
      </c>
      <c r="G370" t="str">
        <f ca="1" t="shared" si="73"/>
        <v>FMR b/c Cherry Hill Rd</v>
      </c>
      <c r="H370" t="e">
        <f t="shared" si="74"/>
        <v>#VALUE!</v>
      </c>
      <c r="I370" t="str">
        <f t="shared" si="75"/>
        <v>FMR b/c Cherry Hill Rd</v>
      </c>
      <c r="J370">
        <f t="shared" si="76"/>
      </c>
    </row>
    <row r="371" spans="1:10" ht="15">
      <c r="A371">
        <f ca="1" t="shared" si="78"/>
        <v>6</v>
      </c>
      <c r="B371">
        <f ca="1" t="shared" si="79"/>
        <v>34</v>
      </c>
      <c r="C371" t="str">
        <f t="shared" si="80"/>
        <v>Seg6!</v>
      </c>
      <c r="D371">
        <f ca="1" t="shared" si="71"/>
        <v>703.6</v>
      </c>
      <c r="E371">
        <f t="shared" si="77"/>
        <v>707.2</v>
      </c>
      <c r="F371" t="str">
        <f ca="1" t="shared" si="72"/>
        <v> QR</v>
      </c>
      <c r="G371" t="str">
        <f ca="1" t="shared" si="73"/>
        <v>Four Point Rd</v>
      </c>
      <c r="H371" t="e">
        <f t="shared" si="74"/>
        <v>#VALUE!</v>
      </c>
      <c r="I371" t="str">
        <f t="shared" si="75"/>
        <v>Four Point Rd</v>
      </c>
      <c r="J371">
        <f t="shared" si="76"/>
      </c>
    </row>
    <row r="372" spans="1:10" ht="15">
      <c r="A372">
        <f ca="1" t="shared" si="78"/>
        <v>6</v>
      </c>
      <c r="B372">
        <f ca="1" t="shared" si="79"/>
        <v>35</v>
      </c>
      <c r="C372" t="str">
        <f t="shared" si="80"/>
        <v>Seg6!</v>
      </c>
      <c r="D372">
        <f ca="1" t="shared" si="71"/>
        <v>704.34</v>
      </c>
      <c r="E372">
        <f t="shared" si="77"/>
        <v>708</v>
      </c>
      <c r="F372" t="str">
        <f ca="1" t="shared" si="72"/>
        <v> x</v>
      </c>
      <c r="G372" t="str">
        <f ca="1" t="shared" si="73"/>
        <v>(SS) TRO Four Point Rd</v>
      </c>
      <c r="H372" t="e">
        <f t="shared" si="74"/>
        <v>#VALUE!</v>
      </c>
      <c r="I372" t="str">
        <f t="shared" si="75"/>
        <v>(SS) TRO Four Point Rd</v>
      </c>
      <c r="J372">
        <f t="shared" si="76"/>
      </c>
    </row>
    <row r="373" spans="1:10" ht="15">
      <c r="A373">
        <f ca="1" t="shared" si="78"/>
        <v>6</v>
      </c>
      <c r="B373">
        <f ca="1" t="shared" si="79"/>
        <v>36</v>
      </c>
      <c r="C373" t="str">
        <f t="shared" si="80"/>
        <v>Seg6!</v>
      </c>
      <c r="D373">
        <f ca="1" t="shared" si="71"/>
        <v>705.17</v>
      </c>
      <c r="E373">
        <f t="shared" si="77"/>
        <v>708.8</v>
      </c>
      <c r="F373" t="str">
        <f ca="1" t="shared" si="72"/>
        <v> T R</v>
      </c>
      <c r="G373" t="str">
        <f ca="1" t="shared" si="73"/>
        <v>Rt 419</v>
      </c>
      <c r="H373" t="e">
        <f t="shared" si="74"/>
        <v>#VALUE!</v>
      </c>
      <c r="I373" t="str">
        <f t="shared" si="75"/>
        <v>Rt 419</v>
      </c>
      <c r="J373">
        <f t="shared" si="76"/>
      </c>
    </row>
    <row r="374" spans="1:10" ht="15">
      <c r="A374">
        <f ca="1" t="shared" si="78"/>
        <v>6</v>
      </c>
      <c r="B374">
        <f ca="1" t="shared" si="79"/>
        <v>37</v>
      </c>
      <c r="C374" t="str">
        <f t="shared" si="80"/>
        <v>Seg6!</v>
      </c>
      <c r="D374">
        <f ca="1" t="shared" si="71"/>
        <v>705.65</v>
      </c>
      <c r="E374">
        <f t="shared" si="77"/>
        <v>709.3</v>
      </c>
      <c r="F374" t="str">
        <f ca="1" t="shared" si="72"/>
        <v> 1st L</v>
      </c>
      <c r="G374" t="str">
        <f ca="1" t="shared" si="73"/>
        <v>Summer Mountain Rd</v>
      </c>
      <c r="H374" t="e">
        <f t="shared" si="74"/>
        <v>#VALUE!</v>
      </c>
      <c r="I374" t="str">
        <f t="shared" si="75"/>
        <v>Summer Mountain Rd</v>
      </c>
      <c r="J374">
        <f t="shared" si="76"/>
      </c>
    </row>
    <row r="375" spans="1:10" ht="15">
      <c r="A375">
        <f ca="1" t="shared" si="78"/>
        <v>6</v>
      </c>
      <c r="B375">
        <f ca="1" t="shared" si="79"/>
        <v>38</v>
      </c>
      <c r="C375" t="str">
        <f t="shared" si="80"/>
        <v>Seg6!</v>
      </c>
      <c r="D375">
        <f ca="1" t="shared" si="71"/>
        <v>710.4399999999999</v>
      </c>
      <c r="E375">
        <f t="shared" si="77"/>
        <v>714.1</v>
      </c>
      <c r="F375" t="str">
        <f ca="1" t="shared" si="72"/>
        <v> X</v>
      </c>
      <c r="G375" t="str">
        <f ca="1" t="shared" si="73"/>
        <v>Caution: Metal Grate Bridge</v>
      </c>
      <c r="H375" t="e">
        <f t="shared" si="74"/>
        <v>#VALUE!</v>
      </c>
      <c r="I375" t="str">
        <f t="shared" si="75"/>
        <v>Caution: Metal Grate Bridge</v>
      </c>
      <c r="J375">
        <f t="shared" si="76"/>
      </c>
    </row>
    <row r="376" spans="1:10" ht="15">
      <c r="A376">
        <f ca="1" t="shared" si="78"/>
        <v>6</v>
      </c>
      <c r="B376">
        <f ca="1" t="shared" si="79"/>
        <v>39</v>
      </c>
      <c r="C376" t="str">
        <f t="shared" si="80"/>
        <v>Seg6!</v>
      </c>
      <c r="D376">
        <f ca="1" t="shared" si="71"/>
        <v>710.92</v>
      </c>
      <c r="E376">
        <f t="shared" si="77"/>
        <v>714.6</v>
      </c>
      <c r="F376" t="str">
        <f ca="1" t="shared" si="72"/>
        <v> T R</v>
      </c>
      <c r="G376" t="str">
        <f ca="1" t="shared" si="73"/>
        <v>Rt 183</v>
      </c>
      <c r="H376" t="e">
        <f t="shared" si="74"/>
        <v>#VALUE!</v>
      </c>
      <c r="I376" t="str">
        <f t="shared" si="75"/>
        <v>Rt 183</v>
      </c>
      <c r="J376">
        <f t="shared" si="76"/>
      </c>
    </row>
    <row r="377" spans="1:10" ht="15">
      <c r="A377">
        <f ca="1" t="shared" si="78"/>
        <v>6</v>
      </c>
      <c r="B377">
        <f ca="1" t="shared" si="79"/>
        <v>40</v>
      </c>
      <c r="C377" t="str">
        <f t="shared" si="80"/>
        <v>Seg6!</v>
      </c>
      <c r="D377">
        <f ca="1" t="shared" si="71"/>
        <v>712.29</v>
      </c>
      <c r="E377">
        <f t="shared" si="77"/>
        <v>715.9</v>
      </c>
      <c r="F377" t="str">
        <f ca="1" t="shared" si="72"/>
        <v> 1st L</v>
      </c>
      <c r="G377" t="str">
        <f ca="1" t="shared" si="73"/>
        <v>Shartlesville Rd</v>
      </c>
      <c r="H377" t="e">
        <f t="shared" si="74"/>
        <v>#VALUE!</v>
      </c>
      <c r="I377" t="str">
        <f t="shared" si="75"/>
        <v>Shartlesville Rd</v>
      </c>
      <c r="J377">
        <f t="shared" si="76"/>
      </c>
    </row>
    <row r="378" spans="1:10" ht="15">
      <c r="A378">
        <f ca="1" t="shared" si="78"/>
        <v>6</v>
      </c>
      <c r="B378">
        <f ca="1" t="shared" si="79"/>
        <v>41</v>
      </c>
      <c r="C378" t="str">
        <f t="shared" si="80"/>
        <v>Seg6!</v>
      </c>
      <c r="D378">
        <f ca="1" t="shared" si="71"/>
        <v>713.13</v>
      </c>
      <c r="E378">
        <f t="shared" si="77"/>
        <v>716.8</v>
      </c>
      <c r="F378" t="str">
        <f ca="1" t="shared" si="72"/>
        <v> R</v>
      </c>
      <c r="G378" t="str">
        <f ca="1" t="shared" si="73"/>
        <v>Irish Creek Rd / Rt 4022</v>
      </c>
      <c r="H378" t="e">
        <f t="shared" si="74"/>
        <v>#VALUE!</v>
      </c>
      <c r="I378" t="str">
        <f t="shared" si="75"/>
        <v>Irish Creek Rd / Rt 4022</v>
      </c>
      <c r="J378">
        <f t="shared" si="76"/>
      </c>
    </row>
    <row r="379" spans="1:10" ht="15">
      <c r="A379">
        <f ca="1" t="shared" si="78"/>
        <v>6</v>
      </c>
      <c r="B379">
        <f ca="1" t="shared" si="79"/>
        <v>42</v>
      </c>
      <c r="C379" t="str">
        <f t="shared" si="80"/>
        <v>Seg6!</v>
      </c>
      <c r="D379">
        <f ca="1" t="shared" si="71"/>
        <v>718.11</v>
      </c>
      <c r="E379">
        <f t="shared" si="77"/>
        <v>721.8</v>
      </c>
      <c r="F379" t="str">
        <f ca="1" t="shared" si="72"/>
        <v> T L</v>
      </c>
      <c r="G379" t="str">
        <f ca="1" t="shared" si="73"/>
        <v>(SS) TRO Irish Creek Rd</v>
      </c>
      <c r="H379" t="e">
        <f t="shared" si="74"/>
        <v>#VALUE!</v>
      </c>
      <c r="I379" t="str">
        <f t="shared" si="75"/>
        <v>(SS) TRO Irish Creek Rd</v>
      </c>
      <c r="J379">
        <f t="shared" si="76"/>
      </c>
    </row>
    <row r="380" spans="1:10" ht="15">
      <c r="A380">
        <f ca="1" t="shared" si="78"/>
        <v>6</v>
      </c>
      <c r="B380">
        <f ca="1" t="shared" si="79"/>
        <v>43</v>
      </c>
      <c r="C380" t="str">
        <f t="shared" si="80"/>
        <v>Seg6!</v>
      </c>
      <c r="D380">
        <f ca="1" t="shared" si="71"/>
        <v>719.87</v>
      </c>
      <c r="E380">
        <f t="shared" si="77"/>
        <v>723.6</v>
      </c>
      <c r="F380" t="str">
        <f ca="1" t="shared" si="72"/>
        <v> T R</v>
      </c>
      <c r="G380" t="str">
        <f ca="1" t="shared" si="73"/>
        <v>Main St [Centerport]</v>
      </c>
      <c r="H380" t="e">
        <f t="shared" si="74"/>
        <v>#VALUE!</v>
      </c>
      <c r="I380" t="str">
        <f t="shared" si="75"/>
        <v>Main St [Centerport]</v>
      </c>
      <c r="J380">
        <f t="shared" si="76"/>
      </c>
    </row>
    <row r="381" spans="1:10" ht="15">
      <c r="A381">
        <f ca="1" t="shared" si="78"/>
        <v>6</v>
      </c>
      <c r="B381">
        <f ca="1" t="shared" si="79"/>
        <v>44</v>
      </c>
      <c r="C381" t="str">
        <f t="shared" si="80"/>
        <v>Seg6!</v>
      </c>
      <c r="D381">
        <f ca="1" t="shared" si="71"/>
        <v>719.92</v>
      </c>
      <c r="E381">
        <f t="shared" si="77"/>
        <v>723.6</v>
      </c>
      <c r="F381" t="str">
        <f ca="1" t="shared" si="72"/>
        <v> QBL</v>
      </c>
      <c r="G381" t="str">
        <f ca="1" t="shared" si="73"/>
        <v>TRO Main St (at Sanford's Place)</v>
      </c>
      <c r="H381" t="e">
        <f t="shared" si="74"/>
        <v>#VALUE!</v>
      </c>
      <c r="I381" t="str">
        <f t="shared" si="75"/>
        <v>TRO Main St (at Sanford's Place)</v>
      </c>
      <c r="J381">
        <f t="shared" si="76"/>
      </c>
    </row>
    <row r="382" spans="1:10" ht="15">
      <c r="A382">
        <f ca="1" t="shared" si="78"/>
        <v>6</v>
      </c>
      <c r="B382">
        <f ca="1" t="shared" si="79"/>
        <v>45</v>
      </c>
      <c r="C382" t="str">
        <f t="shared" si="80"/>
        <v>Seg6!</v>
      </c>
      <c r="D382">
        <f ca="1" t="shared" si="71"/>
        <v>720.49</v>
      </c>
      <c r="E382">
        <f t="shared" si="77"/>
        <v>724.2</v>
      </c>
      <c r="F382" t="str">
        <f ca="1" t="shared" si="72"/>
        <v> L</v>
      </c>
      <c r="G382" t="str">
        <f ca="1" t="shared" si="73"/>
        <v>Shoey Rd / Rt 4025</v>
      </c>
      <c r="H382" t="e">
        <f t="shared" si="74"/>
        <v>#VALUE!</v>
      </c>
      <c r="I382" t="str">
        <f t="shared" si="75"/>
        <v>Shoey Rd / Rt 4025</v>
      </c>
      <c r="J382">
        <f t="shared" si="76"/>
      </c>
    </row>
    <row r="383" spans="1:10" ht="15">
      <c r="A383">
        <f ca="1" t="shared" si="78"/>
        <v>6</v>
      </c>
      <c r="B383">
        <f ca="1" t="shared" si="79"/>
        <v>46</v>
      </c>
      <c r="C383" t="str">
        <f t="shared" si="80"/>
        <v>Seg6!</v>
      </c>
      <c r="D383">
        <f ca="1" t="shared" si="71"/>
        <v>722.21</v>
      </c>
      <c r="E383">
        <f t="shared" si="77"/>
        <v>725.9</v>
      </c>
      <c r="F383" t="str">
        <f ca="1" t="shared" si="72"/>
        <v> X</v>
      </c>
      <c r="G383" t="str">
        <f ca="1" t="shared" si="73"/>
        <v>RR Tracks on downhill: Caution</v>
      </c>
      <c r="H383" t="e">
        <f t="shared" si="74"/>
        <v>#VALUE!</v>
      </c>
      <c r="I383" t="str">
        <f t="shared" si="75"/>
        <v>RR Tracks on downhill: Caution</v>
      </c>
      <c r="J383">
        <f t="shared" si="76"/>
      </c>
    </row>
    <row r="384" spans="1:10" ht="15">
      <c r="A384">
        <f ca="1" t="shared" si="78"/>
        <v>6</v>
      </c>
      <c r="B384">
        <f ca="1" t="shared" si="79"/>
        <v>47</v>
      </c>
      <c r="C384" t="str">
        <f t="shared" si="80"/>
        <v>Seg6!</v>
      </c>
      <c r="D384">
        <f ca="1" t="shared" si="71"/>
        <v>722.48</v>
      </c>
      <c r="E384">
        <f t="shared" si="77"/>
        <v>726.2</v>
      </c>
      <c r="F384" t="str">
        <f ca="1" t="shared" si="72"/>
        <v> T L</v>
      </c>
      <c r="G384" t="str">
        <f ca="1" t="shared" si="73"/>
        <v>Main St [Shoemakersville]</v>
      </c>
      <c r="H384" t="e">
        <f t="shared" si="74"/>
        <v>#VALUE!</v>
      </c>
      <c r="I384" t="str">
        <f t="shared" si="75"/>
        <v>Main St [Shoemakersville]</v>
      </c>
      <c r="J384">
        <f t="shared" si="76"/>
      </c>
    </row>
    <row r="385" spans="1:10" ht="15">
      <c r="A385">
        <f ca="1" t="shared" si="78"/>
        <v>6</v>
      </c>
      <c r="B385">
        <f ca="1" t="shared" si="79"/>
        <v>48</v>
      </c>
      <c r="C385" t="str">
        <f t="shared" si="80"/>
        <v>Seg6!</v>
      </c>
      <c r="D385">
        <f ca="1" t="shared" si="71"/>
        <v>722.66</v>
      </c>
      <c r="E385">
        <f t="shared" si="77"/>
        <v>726.4</v>
      </c>
      <c r="F385" t="str">
        <f ca="1" t="shared" si="72"/>
        <v> X</v>
      </c>
      <c r="G385" t="str">
        <f ca="1" t="shared" si="73"/>
        <v>Bad angle RR Tracks: Caution</v>
      </c>
      <c r="H385" t="e">
        <f t="shared" si="74"/>
        <v>#VALUE!</v>
      </c>
      <c r="I385" t="str">
        <f t="shared" si="75"/>
        <v>Bad angle RR Tracks: Caution</v>
      </c>
      <c r="J385">
        <f t="shared" si="76"/>
      </c>
    </row>
    <row r="386" spans="1:10" ht="15">
      <c r="A386">
        <f ca="1" t="shared" si="78"/>
        <v>6</v>
      </c>
      <c r="B386">
        <f ca="1" t="shared" si="79"/>
        <v>49</v>
      </c>
      <c r="C386" t="str">
        <f t="shared" si="80"/>
        <v>Seg6!</v>
      </c>
      <c r="D386">
        <f ca="1" t="shared" si="71"/>
        <v>722.8199999999999</v>
      </c>
      <c r="E386">
        <f t="shared" si="77"/>
        <v>726.5</v>
      </c>
      <c r="F386" t="str">
        <f ca="1" t="shared" si="72"/>
        <v> R</v>
      </c>
      <c r="G386" t="str">
        <f ca="1" t="shared" si="73"/>
        <v>(SS) Noble Rd</v>
      </c>
      <c r="H386" t="e">
        <f t="shared" si="74"/>
        <v>#VALUE!</v>
      </c>
      <c r="I386" t="str">
        <f t="shared" si="75"/>
        <v>(SS) Noble Rd</v>
      </c>
      <c r="J386">
        <f t="shared" si="76"/>
      </c>
    </row>
    <row r="387" spans="1:10" ht="15">
      <c r="A387">
        <f ca="1" t="shared" si="78"/>
        <v>6</v>
      </c>
      <c r="B387">
        <f ca="1" t="shared" si="79"/>
        <v>50</v>
      </c>
      <c r="C387" t="str">
        <f t="shared" si="80"/>
        <v>Seg6!</v>
      </c>
      <c r="D387">
        <f ca="1" t="shared" si="81" ref="D387:D425">INDIRECT($C387&amp;"L"&amp;$B387)</f>
        <v>723.17</v>
      </c>
      <c r="E387">
        <f t="shared" si="77"/>
        <v>726.9</v>
      </c>
      <c r="F387" t="str">
        <f ca="1" t="shared" si="82" ref="F387:F425">INDIRECT($C387&amp;"M"&amp;$B387)</f>
        <v> X</v>
      </c>
      <c r="G387" t="str">
        <f ca="1" t="shared" si="83" ref="G387:G425">INDIRECT($C387&amp;"A"&amp;$B387)</f>
        <v>(TFL) Rt 61 (now on Rt 662 / Moslem Spring Rd)  {MiniMarket (no services at next controle)}</v>
      </c>
      <c r="H387">
        <f aca="true" t="shared" si="84" ref="H387:H425">FIND("{",G387)</f>
        <v>49</v>
      </c>
      <c r="I387" t="str">
        <f aca="true" t="shared" si="85" ref="I387:I408">IF(ISNUMBER(H387),LEFT(G387,H387-1),G387)</f>
        <v>(TFL) Rt 61 (now on Rt 662 / Moslem Spring Rd)  </v>
      </c>
      <c r="J387" t="str">
        <f aca="true" t="shared" si="86" ref="J387:J408">IF(ISNUMBER(H387),MID(G387,H387+1,LEN(G387)-H387-1),"")</f>
        <v>MiniMarket (no services at next controle)</v>
      </c>
    </row>
    <row r="388" spans="1:10" ht="15">
      <c r="A388">
        <f ca="1" t="shared" si="78"/>
        <v>6</v>
      </c>
      <c r="B388">
        <f ca="1" t="shared" si="79"/>
        <v>51</v>
      </c>
      <c r="C388" t="str">
        <f t="shared" si="80"/>
        <v>Seg6!</v>
      </c>
      <c r="D388">
        <f ca="1" t="shared" si="81"/>
        <v>723.56</v>
      </c>
      <c r="E388">
        <f aca="true" t="shared" si="87" ref="E388:E425">TRUNC(D388*$J$1,1)</f>
        <v>727.3</v>
      </c>
      <c r="F388" t="str">
        <f ca="1" t="shared" si="82"/>
        <v> 1st L</v>
      </c>
      <c r="G388" t="str">
        <f ca="1" t="shared" si="83"/>
        <v>Dreibelbis Mill Rd</v>
      </c>
      <c r="H388" t="e">
        <f t="shared" si="84"/>
        <v>#VALUE!</v>
      </c>
      <c r="I388" t="str">
        <f t="shared" si="85"/>
        <v>Dreibelbis Mill Rd</v>
      </c>
      <c r="J388">
        <f t="shared" si="86"/>
      </c>
    </row>
    <row r="389" spans="1:10" ht="15">
      <c r="A389">
        <f ca="1" t="shared" si="78"/>
        <v>6</v>
      </c>
      <c r="B389">
        <f ca="1" t="shared" si="79"/>
        <v>52</v>
      </c>
      <c r="C389" t="str">
        <f t="shared" si="80"/>
        <v>Seg6!</v>
      </c>
      <c r="D389">
        <f ca="1" t="shared" si="81"/>
        <v>724.79</v>
      </c>
      <c r="E389">
        <f t="shared" si="87"/>
        <v>728.5</v>
      </c>
      <c r="F389" t="str">
        <f ca="1" t="shared" si="82"/>
        <v> 1st R</v>
      </c>
      <c r="G389" t="str">
        <f ca="1" t="shared" si="83"/>
        <v>Onyx Cave Rd</v>
      </c>
      <c r="H389" t="e">
        <f t="shared" si="84"/>
        <v>#VALUE!</v>
      </c>
      <c r="I389" t="str">
        <f t="shared" si="85"/>
        <v>Onyx Cave Rd</v>
      </c>
      <c r="J389">
        <f t="shared" si="86"/>
      </c>
    </row>
    <row r="390" spans="1:10" ht="15">
      <c r="A390">
        <f ca="1" t="shared" si="78"/>
        <v>6</v>
      </c>
      <c r="B390">
        <f ca="1" t="shared" si="79"/>
        <v>53</v>
      </c>
      <c r="C390" t="str">
        <f t="shared" si="80"/>
        <v>Seg6!</v>
      </c>
      <c r="D390">
        <f ca="1" t="shared" si="81"/>
        <v>727.8299999999999</v>
      </c>
      <c r="E390">
        <f t="shared" si="87"/>
        <v>731.6</v>
      </c>
      <c r="F390" t="str">
        <f ca="1" t="shared" si="82"/>
        <v> T L</v>
      </c>
      <c r="G390" t="str">
        <f ca="1" t="shared" si="83"/>
        <v>Ontelaunee Trl</v>
      </c>
      <c r="H390" t="e">
        <f t="shared" si="84"/>
        <v>#VALUE!</v>
      </c>
      <c r="I390" t="str">
        <f t="shared" si="85"/>
        <v>Ontelaunee Trl</v>
      </c>
      <c r="J390">
        <f t="shared" si="86"/>
      </c>
    </row>
    <row r="391" spans="1:10" ht="15">
      <c r="A391">
        <f ca="1" t="shared" si="78"/>
        <v>6</v>
      </c>
      <c r="B391">
        <f ca="1" t="shared" si="79"/>
        <v>54</v>
      </c>
      <c r="C391" t="str">
        <f t="shared" si="80"/>
        <v>Seg6!</v>
      </c>
      <c r="D391">
        <f ca="1" t="shared" si="81"/>
        <v>728.77</v>
      </c>
      <c r="E391">
        <f t="shared" si="87"/>
        <v>732.5</v>
      </c>
      <c r="F391" t="str">
        <f ca="1" t="shared" si="82"/>
        <v> T R</v>
      </c>
      <c r="G391" t="str">
        <f ca="1" t="shared" si="83"/>
        <v>TRO Ontelaunee Trl (Jct Farview)</v>
      </c>
      <c r="H391" t="e">
        <f t="shared" si="84"/>
        <v>#VALUE!</v>
      </c>
      <c r="I391" t="str">
        <f t="shared" si="85"/>
        <v>TRO Ontelaunee Trl (Jct Farview)</v>
      </c>
      <c r="J391">
        <f t="shared" si="86"/>
      </c>
    </row>
    <row r="392" spans="1:10" ht="15">
      <c r="A392">
        <f ca="1" t="shared" si="78"/>
        <v>6</v>
      </c>
      <c r="B392">
        <f ca="1" t="shared" si="79"/>
        <v>55</v>
      </c>
      <c r="C392" t="str">
        <f t="shared" si="80"/>
        <v>Seg6!</v>
      </c>
      <c r="D392">
        <f ca="1" t="shared" si="81"/>
        <v>729.04</v>
      </c>
      <c r="E392">
        <f t="shared" si="87"/>
        <v>732.8</v>
      </c>
      <c r="F392" t="str">
        <f ca="1" t="shared" si="82"/>
        <v> T R</v>
      </c>
      <c r="G392" t="str">
        <f ca="1" t="shared" si="83"/>
        <v>Rt 143</v>
      </c>
      <c r="H392" t="e">
        <f t="shared" si="84"/>
        <v>#VALUE!</v>
      </c>
      <c r="I392" t="str">
        <f t="shared" si="85"/>
        <v>Rt 143</v>
      </c>
      <c r="J392">
        <f t="shared" si="86"/>
      </c>
    </row>
    <row r="393" spans="1:10" ht="15">
      <c r="A393">
        <f ca="1" t="shared" si="78"/>
        <v>6</v>
      </c>
      <c r="B393">
        <f ca="1" t="shared" si="79"/>
        <v>56</v>
      </c>
      <c r="C393" t="str">
        <f t="shared" si="80"/>
        <v>Seg6!</v>
      </c>
      <c r="D393">
        <f ca="1" t="shared" si="81"/>
        <v>729.21</v>
      </c>
      <c r="E393">
        <f t="shared" si="87"/>
        <v>733</v>
      </c>
      <c r="F393" t="str">
        <f ca="1" t="shared" si="82"/>
        <v> STOP</v>
      </c>
      <c r="G393" t="str">
        <f ca="1" t="shared" si="83"/>
        <v>Controle Virginville Post Office (on left Jct Crystal Cave Rd (Mail Postcard) {tavern in town}</v>
      </c>
      <c r="H393">
        <f t="shared" si="84"/>
        <v>79</v>
      </c>
      <c r="I393" t="str">
        <f t="shared" si="85"/>
        <v>Controle Virginville Post Office (on left Jct Crystal Cave Rd (Mail Postcard) </v>
      </c>
      <c r="J393" t="str">
        <f t="shared" si="86"/>
        <v>tavern in town</v>
      </c>
    </row>
    <row r="394" spans="1:10" ht="15">
      <c r="A394">
        <f ca="1" t="shared" si="78"/>
        <v>6</v>
      </c>
      <c r="B394">
        <f ca="1" t="shared" si="79"/>
        <v>57</v>
      </c>
      <c r="C394" t="str">
        <f t="shared" si="80"/>
        <v>Seg6!</v>
      </c>
      <c r="D394">
        <f ca="1" t="shared" si="81"/>
        <v>729.23</v>
      </c>
      <c r="E394">
        <f t="shared" si="87"/>
        <v>733</v>
      </c>
      <c r="F394" t="str">
        <f ca="1" t="shared" si="82"/>
        <v> Turn</v>
      </c>
      <c r="G394" t="str">
        <f ca="1" t="shared" si="83"/>
        <v>Leave parking lot turning right on Crystal Cave Rd</v>
      </c>
      <c r="H394" t="e">
        <f t="shared" si="84"/>
        <v>#VALUE!</v>
      </c>
      <c r="I394" t="str">
        <f t="shared" si="85"/>
        <v>Leave parking lot turning right on Crystal Cave Rd</v>
      </c>
      <c r="J394">
        <f t="shared" si="86"/>
      </c>
    </row>
    <row r="395" spans="1:10" ht="15">
      <c r="A395">
        <f ca="1" t="shared" si="78"/>
        <v>6</v>
      </c>
      <c r="B395">
        <f ca="1" t="shared" si="79"/>
        <v>58</v>
      </c>
      <c r="C395" t="str">
        <f t="shared" si="80"/>
        <v>Seg6!</v>
      </c>
      <c r="D395">
        <f ca="1" t="shared" si="81"/>
        <v>730.4399999999999</v>
      </c>
      <c r="E395">
        <f t="shared" si="87"/>
        <v>734.2</v>
      </c>
      <c r="F395" t="str">
        <f ca="1" t="shared" si="82"/>
        <v> L</v>
      </c>
      <c r="G395" t="str">
        <f ca="1" t="shared" si="83"/>
        <v>TRO Crystal Cave Rd / Rt 1012 (Jct Crystal Ridge Rd 1st time)</v>
      </c>
      <c r="H395" t="e">
        <f t="shared" si="84"/>
        <v>#VALUE!</v>
      </c>
      <c r="I395" t="str">
        <f t="shared" si="85"/>
        <v>TRO Crystal Cave Rd / Rt 1012 (Jct Crystal Ridge Rd 1st time)</v>
      </c>
      <c r="J395">
        <f t="shared" si="86"/>
      </c>
    </row>
    <row r="396" spans="1:10" ht="15">
      <c r="A396">
        <f ca="1" t="shared" si="78"/>
        <v>6</v>
      </c>
      <c r="B396">
        <f ca="1" t="shared" si="79"/>
        <v>59</v>
      </c>
      <c r="C396" t="str">
        <f t="shared" si="80"/>
        <v>Seg6!</v>
      </c>
      <c r="D396">
        <f ca="1" t="shared" si="81"/>
        <v>733.5</v>
      </c>
      <c r="E396">
        <f t="shared" si="87"/>
        <v>737.3</v>
      </c>
      <c r="F396" t="str">
        <f ca="1" t="shared" si="82"/>
        <v> T L</v>
      </c>
      <c r="G396" t="str">
        <f ca="1" t="shared" si="83"/>
        <v>TRO Crystal Cave Rd / Rt 1006 (Jct Crystal Ridge Rd 2nd time)</v>
      </c>
      <c r="H396" t="e">
        <f t="shared" si="84"/>
        <v>#VALUE!</v>
      </c>
      <c r="I396" t="str">
        <f t="shared" si="85"/>
        <v>TRO Crystal Cave Rd / Rt 1006 (Jct Crystal Ridge Rd 2nd time)</v>
      </c>
      <c r="J396">
        <f t="shared" si="86"/>
      </c>
    </row>
    <row r="397" spans="1:10" ht="15">
      <c r="A397">
        <f ca="1" t="shared" si="78"/>
        <v>6</v>
      </c>
      <c r="B397">
        <f ca="1" t="shared" si="79"/>
        <v>60</v>
      </c>
      <c r="C397" t="str">
        <f t="shared" si="80"/>
        <v>Seg6!</v>
      </c>
      <c r="D397">
        <f ca="1" t="shared" si="81"/>
        <v>734.22</v>
      </c>
      <c r="E397">
        <f t="shared" si="87"/>
        <v>738</v>
      </c>
      <c r="F397" t="str">
        <f ca="1" t="shared" si="82"/>
        <v> L</v>
      </c>
      <c r="G397" t="str">
        <f ca="1" t="shared" si="83"/>
        <v>Sharadin Rd</v>
      </c>
      <c r="H397" t="e">
        <f t="shared" si="84"/>
        <v>#VALUE!</v>
      </c>
      <c r="I397" t="str">
        <f t="shared" si="85"/>
        <v>Sharadin Rd</v>
      </c>
      <c r="J397">
        <f t="shared" si="86"/>
      </c>
    </row>
    <row r="398" spans="1:10" ht="15">
      <c r="A398">
        <f ca="1" t="shared" si="78"/>
        <v>6</v>
      </c>
      <c r="B398">
        <f ca="1" t="shared" si="79"/>
        <v>61</v>
      </c>
      <c r="C398" t="str">
        <f t="shared" si="80"/>
        <v>Seg6!</v>
      </c>
      <c r="D398">
        <f ca="1" t="shared" si="81"/>
        <v>735.59</v>
      </c>
      <c r="E398">
        <f t="shared" si="87"/>
        <v>739.4</v>
      </c>
      <c r="F398" t="str">
        <f ca="1" t="shared" si="82"/>
        <v> X</v>
      </c>
      <c r="G398" t="str">
        <f ca="1" t="shared" si="83"/>
        <v>(SS) Kuztown Rd {Stores off-course left}</v>
      </c>
      <c r="H398">
        <f t="shared" si="84"/>
        <v>17</v>
      </c>
      <c r="I398" t="str">
        <f t="shared" si="85"/>
        <v>(SS) Kuztown Rd </v>
      </c>
      <c r="J398" t="str">
        <f t="shared" si="86"/>
        <v>Stores off-course left</v>
      </c>
    </row>
    <row r="399" spans="1:10" ht="15">
      <c r="A399">
        <f ca="1" t="shared" si="78"/>
        <v>6</v>
      </c>
      <c r="B399">
        <f ca="1" t="shared" si="79"/>
        <v>62</v>
      </c>
      <c r="C399" t="str">
        <f t="shared" si="80"/>
        <v>Seg6!</v>
      </c>
      <c r="D399">
        <f ca="1" t="shared" si="81"/>
        <v>736.71</v>
      </c>
      <c r="E399">
        <f t="shared" si="87"/>
        <v>740.5</v>
      </c>
      <c r="F399" t="str">
        <f ca="1" t="shared" si="82"/>
        <v> T R</v>
      </c>
      <c r="G399" t="str">
        <f ca="1" t="shared" si="83"/>
        <v>Baldy Rd</v>
      </c>
      <c r="H399" t="e">
        <f t="shared" si="84"/>
        <v>#VALUE!</v>
      </c>
      <c r="I399" t="str">
        <f t="shared" si="85"/>
        <v>Baldy Rd</v>
      </c>
      <c r="J399">
        <f t="shared" si="86"/>
      </c>
    </row>
    <row r="400" spans="1:10" ht="15">
      <c r="A400">
        <f ca="1" t="shared" si="78"/>
        <v>6</v>
      </c>
      <c r="B400">
        <f ca="1" t="shared" si="79"/>
        <v>63</v>
      </c>
      <c r="C400" t="str">
        <f t="shared" si="80"/>
        <v>Seg6!</v>
      </c>
      <c r="D400">
        <f ca="1" t="shared" si="81"/>
        <v>737.0799999999999</v>
      </c>
      <c r="E400">
        <f t="shared" si="87"/>
        <v>740.9</v>
      </c>
      <c r="F400" t="str">
        <f ca="1" t="shared" si="82"/>
        <v> 1st L</v>
      </c>
      <c r="G400" t="str">
        <f ca="1" t="shared" si="83"/>
        <v>TRO Baldy Rd (Jct Short Ln)</v>
      </c>
      <c r="H400" t="e">
        <f t="shared" si="84"/>
        <v>#VALUE!</v>
      </c>
      <c r="I400" t="str">
        <f t="shared" si="85"/>
        <v>TRO Baldy Rd (Jct Short Ln)</v>
      </c>
      <c r="J400">
        <f t="shared" si="86"/>
      </c>
    </row>
    <row r="401" spans="1:10" ht="15">
      <c r="A401">
        <f ca="1" t="shared" si="78"/>
        <v>6</v>
      </c>
      <c r="B401">
        <f ca="1" t="shared" si="79"/>
        <v>64</v>
      </c>
      <c r="C401" t="str">
        <f t="shared" si="80"/>
        <v>Seg6!</v>
      </c>
      <c r="D401">
        <f ca="1" t="shared" si="81"/>
        <v>737.75</v>
      </c>
      <c r="E401">
        <f t="shared" si="87"/>
        <v>741.5</v>
      </c>
      <c r="F401" t="str">
        <f ca="1" t="shared" si="82"/>
        <v> T L</v>
      </c>
      <c r="G401" t="str">
        <f ca="1" t="shared" si="83"/>
        <v>Rt 1010 Rd (Caution: Traffic)</v>
      </c>
      <c r="H401" t="e">
        <f t="shared" si="84"/>
        <v>#VALUE!</v>
      </c>
      <c r="I401" t="str">
        <f t="shared" si="85"/>
        <v>Rt 1010 Rd (Caution: Traffic)</v>
      </c>
      <c r="J401">
        <f t="shared" si="86"/>
      </c>
    </row>
    <row r="402" spans="1:10" ht="15">
      <c r="A402">
        <f ca="1" t="shared" si="78"/>
        <v>6</v>
      </c>
      <c r="B402">
        <f ca="1" t="shared" si="79"/>
        <v>65</v>
      </c>
      <c r="C402" t="str">
        <f t="shared" si="80"/>
        <v>Seg6!</v>
      </c>
      <c r="D402">
        <f ca="1" t="shared" si="81"/>
        <v>738</v>
      </c>
      <c r="E402">
        <f t="shared" si="87"/>
        <v>741.8</v>
      </c>
      <c r="F402" t="str">
        <f ca="1" t="shared" si="82"/>
        <v> 2nd R</v>
      </c>
      <c r="G402" t="str">
        <f ca="1" t="shared" si="83"/>
        <v>Deka Rd {General Store}</v>
      </c>
      <c r="H402">
        <f t="shared" si="84"/>
        <v>9</v>
      </c>
      <c r="I402" t="str">
        <f t="shared" si="85"/>
        <v>Deka Rd </v>
      </c>
      <c r="J402" t="str">
        <f t="shared" si="86"/>
        <v>General Store</v>
      </c>
    </row>
    <row r="403" spans="1:10" ht="15">
      <c r="A403">
        <f ca="1" t="shared" si="78"/>
        <v>6</v>
      </c>
      <c r="B403">
        <f ca="1" t="shared" si="79"/>
        <v>66</v>
      </c>
      <c r="C403" t="str">
        <f t="shared" si="80"/>
        <v>Seg6!</v>
      </c>
      <c r="D403">
        <f ca="1" t="shared" si="81"/>
        <v>738.6899999999999</v>
      </c>
      <c r="E403">
        <f t="shared" si="87"/>
        <v>742.5</v>
      </c>
      <c r="F403" t="str">
        <f ca="1" t="shared" si="82"/>
        <v> 1st R</v>
      </c>
      <c r="G403" t="str">
        <f ca="1" t="shared" si="83"/>
        <v>Ruth Rd</v>
      </c>
      <c r="H403" t="e">
        <f t="shared" si="84"/>
        <v>#VALUE!</v>
      </c>
      <c r="I403" t="str">
        <f t="shared" si="85"/>
        <v>Ruth Rd</v>
      </c>
      <c r="J403">
        <f t="shared" si="86"/>
      </c>
    </row>
    <row r="404" spans="1:10" ht="15">
      <c r="A404">
        <f ca="1" t="shared" si="78"/>
        <v>6</v>
      </c>
      <c r="B404">
        <f ca="1" t="shared" si="79"/>
        <v>67</v>
      </c>
      <c r="C404" t="str">
        <f t="shared" si="80"/>
        <v>Seg6!</v>
      </c>
      <c r="D404">
        <f ca="1" t="shared" si="81"/>
        <v>739.16</v>
      </c>
      <c r="E404">
        <f t="shared" si="87"/>
        <v>743</v>
      </c>
      <c r="F404" t="str">
        <f ca="1" t="shared" si="82"/>
        <v> X</v>
      </c>
      <c r="G404" t="str">
        <f ca="1" t="shared" si="83"/>
        <v>(SS) Joining Rt 1033 / Kutz Rd</v>
      </c>
      <c r="H404" t="e">
        <f t="shared" si="84"/>
        <v>#VALUE!</v>
      </c>
      <c r="I404" t="str">
        <f t="shared" si="85"/>
        <v>(SS) Joining Rt 1033 / Kutz Rd</v>
      </c>
      <c r="J404">
        <f t="shared" si="86"/>
      </c>
    </row>
    <row r="405" spans="1:10" ht="15">
      <c r="A405">
        <f ca="1" t="shared" si="78"/>
        <v>6</v>
      </c>
      <c r="B405">
        <f ca="1" t="shared" si="79"/>
        <v>68</v>
      </c>
      <c r="C405" t="str">
        <f t="shared" si="80"/>
        <v>Seg6!</v>
      </c>
      <c r="D405">
        <f ca="1" t="shared" si="81"/>
        <v>739.5699999999999</v>
      </c>
      <c r="E405">
        <f t="shared" si="87"/>
        <v>743.4</v>
      </c>
      <c r="F405" t="str">
        <f ca="1" t="shared" si="82"/>
        <v> BL</v>
      </c>
      <c r="G405" t="str">
        <f ca="1" t="shared" si="83"/>
        <v>FMR TRO Kutz</v>
      </c>
      <c r="H405" t="e">
        <f t="shared" si="84"/>
        <v>#VALUE!</v>
      </c>
      <c r="I405" t="str">
        <f t="shared" si="85"/>
        <v>FMR TRO Kutz</v>
      </c>
      <c r="J405">
        <f t="shared" si="86"/>
      </c>
    </row>
    <row r="406" spans="1:10" ht="15">
      <c r="A406">
        <f ca="1" t="shared" si="78"/>
        <v>6</v>
      </c>
      <c r="B406">
        <f ca="1" t="shared" si="79"/>
        <v>69</v>
      </c>
      <c r="C406" t="str">
        <f t="shared" si="80"/>
        <v>Seg6!</v>
      </c>
      <c r="D406">
        <f ca="1" t="shared" si="81"/>
        <v>739.79</v>
      </c>
      <c r="E406">
        <f t="shared" si="87"/>
        <v>743.6</v>
      </c>
      <c r="F406" t="str">
        <f ca="1" t="shared" si="82"/>
        <v> 1st BL</v>
      </c>
      <c r="G406" t="str">
        <f ca="1" t="shared" si="83"/>
        <v>LMR Clay Valley Rd</v>
      </c>
      <c r="H406" t="e">
        <f t="shared" si="84"/>
        <v>#VALUE!</v>
      </c>
      <c r="I406" t="str">
        <f t="shared" si="85"/>
        <v>LMR Clay Valley Rd</v>
      </c>
      <c r="J406">
        <f t="shared" si="86"/>
      </c>
    </row>
    <row r="407" spans="1:10" ht="15">
      <c r="A407">
        <f ca="1">IF(INDIRECT($C406&amp;"A"&amp;$B406+1)&lt;&gt;"",A406,A406+1)</f>
        <v>6</v>
      </c>
      <c r="B407">
        <f ca="1">IF(INDIRECT($C406&amp;"A"&amp;$B406+1)&lt;&gt;"",B406+1,3)</f>
        <v>70</v>
      </c>
      <c r="C407" t="str">
        <f>"Seg"&amp;A407&amp;"!"</f>
        <v>Seg6!</v>
      </c>
      <c r="D407">
        <f ca="1" t="shared" si="81"/>
        <v>740.6899999999999</v>
      </c>
      <c r="E407">
        <f t="shared" si="87"/>
        <v>744.5</v>
      </c>
      <c r="F407" t="str">
        <f ca="1" t="shared" si="82"/>
        <v> T R</v>
      </c>
      <c r="G407" t="str">
        <f ca="1" t="shared" si="83"/>
        <v>Forgedale Rd</v>
      </c>
      <c r="H407" t="e">
        <f t="shared" si="84"/>
        <v>#VALUE!</v>
      </c>
      <c r="I407" t="str">
        <f t="shared" si="85"/>
        <v>Forgedale Rd</v>
      </c>
      <c r="J407">
        <f t="shared" si="86"/>
      </c>
    </row>
    <row r="408" spans="1:10" ht="15">
      <c r="A408">
        <f ca="1">IF(INDIRECT($C407&amp;"A"&amp;$B407+1)&lt;&gt;"",A407,A407+1)</f>
        <v>6</v>
      </c>
      <c r="B408">
        <f ca="1">IF(INDIRECT($C407&amp;"A"&amp;$B407+1)&lt;&gt;"",B407+1,3)</f>
        <v>71</v>
      </c>
      <c r="C408" t="str">
        <f>"Seg"&amp;A408&amp;"!"</f>
        <v>Seg6!</v>
      </c>
      <c r="D408">
        <f ca="1" t="shared" si="81"/>
        <v>741.3299999999999</v>
      </c>
      <c r="E408">
        <f t="shared" si="87"/>
        <v>745.1</v>
      </c>
      <c r="F408" t="str">
        <f ca="1" t="shared" si="82"/>
        <v> X</v>
      </c>
      <c r="G408" t="str">
        <f ca="1" t="shared" si="83"/>
        <v>(SS) Pricetown Rd  [Boyers Junction] {Store}</v>
      </c>
      <c r="H408">
        <f t="shared" si="84"/>
        <v>38</v>
      </c>
      <c r="I408" t="str">
        <f t="shared" si="85"/>
        <v>(SS) Pricetown Rd  [Boyers Junction] </v>
      </c>
      <c r="J408" t="str">
        <f t="shared" si="86"/>
        <v>Store</v>
      </c>
    </row>
    <row r="409" spans="1:10" ht="15">
      <c r="A409">
        <f aca="true" ca="1" t="shared" si="88" ref="A409:A418">IF(INDIRECT($C408&amp;"A"&amp;$B408+1)&lt;&gt;"",A408,A408+1)</f>
        <v>6</v>
      </c>
      <c r="B409">
        <f aca="true" ca="1" t="shared" si="89" ref="B409:B418">IF(INDIRECT($C408&amp;"A"&amp;$B408+1)&lt;&gt;"",B408+1,3)</f>
        <v>72</v>
      </c>
      <c r="C409" t="str">
        <f aca="true" t="shared" si="90" ref="C409:C418">"Seg"&amp;A409&amp;"!"</f>
        <v>Seg6!</v>
      </c>
      <c r="D409">
        <f ca="1" t="shared" si="81"/>
        <v>743.71</v>
      </c>
      <c r="E409">
        <f t="shared" si="87"/>
        <v>747.5</v>
      </c>
      <c r="F409" t="str">
        <f ca="1" t="shared" si="82"/>
        <v> Pass</v>
      </c>
      <c r="G409" t="str">
        <f ca="1" t="shared" si="83"/>
        <v>Water St (on right) now on Hoch Rd</v>
      </c>
      <c r="H409" t="e">
        <f t="shared" si="84"/>
        <v>#VALUE!</v>
      </c>
      <c r="I409" t="str">
        <f aca="true" t="shared" si="91" ref="I409:I419">IF(ISNUMBER(H409),LEFT(G409,H409-1),G409)</f>
        <v>Water St (on right) now on Hoch Rd</v>
      </c>
      <c r="J409">
        <f aca="true" t="shared" si="92" ref="J409:J419">IF(ISNUMBER(H409),MID(G409,H409+1,LEN(G409)-H409-1),"")</f>
      </c>
    </row>
    <row r="410" spans="1:10" ht="15">
      <c r="A410">
        <f ca="1" t="shared" si="88"/>
        <v>6</v>
      </c>
      <c r="B410">
        <f ca="1" t="shared" si="89"/>
        <v>73</v>
      </c>
      <c r="C410" t="str">
        <f t="shared" si="90"/>
        <v>Seg6!</v>
      </c>
      <c r="D410">
        <f ca="1" t="shared" si="81"/>
        <v>745.71</v>
      </c>
      <c r="E410">
        <f t="shared" si="87"/>
        <v>749.5</v>
      </c>
      <c r="F410" t="str">
        <f ca="1" t="shared" si="82"/>
        <v> L</v>
      </c>
      <c r="G410" t="str">
        <f ca="1" t="shared" si="83"/>
        <v>Cleaver Rd (just before end of road at Rt 73 T)</v>
      </c>
      <c r="H410" t="e">
        <f t="shared" si="84"/>
        <v>#VALUE!</v>
      </c>
      <c r="I410" t="str">
        <f t="shared" si="91"/>
        <v>Cleaver Rd (just before end of road at Rt 73 T)</v>
      </c>
      <c r="J410">
        <f t="shared" si="92"/>
      </c>
    </row>
    <row r="411" spans="1:10" ht="15">
      <c r="A411">
        <f ca="1" t="shared" si="88"/>
        <v>6</v>
      </c>
      <c r="B411">
        <f ca="1" t="shared" si="89"/>
        <v>74</v>
      </c>
      <c r="C411" t="str">
        <f t="shared" si="90"/>
        <v>Seg6!</v>
      </c>
      <c r="D411">
        <f ca="1" t="shared" si="81"/>
        <v>746.42</v>
      </c>
      <c r="E411">
        <f t="shared" si="87"/>
        <v>750.3</v>
      </c>
      <c r="F411" t="str">
        <f ca="1" t="shared" si="82"/>
        <v> T L</v>
      </c>
      <c r="G411" t="str">
        <f ca="1" t="shared" si="83"/>
        <v>Oysterdale Rd</v>
      </c>
      <c r="H411" t="e">
        <f t="shared" si="84"/>
        <v>#VALUE!</v>
      </c>
      <c r="I411" t="str">
        <f t="shared" si="91"/>
        <v>Oysterdale Rd</v>
      </c>
      <c r="J411">
        <f t="shared" si="92"/>
      </c>
    </row>
    <row r="412" spans="1:10" ht="15">
      <c r="A412">
        <f ca="1" t="shared" si="88"/>
        <v>6</v>
      </c>
      <c r="B412">
        <f ca="1" t="shared" si="89"/>
        <v>75</v>
      </c>
      <c r="C412" t="str">
        <f t="shared" si="90"/>
        <v>Seg6!</v>
      </c>
      <c r="D412">
        <f ca="1" t="shared" si="81"/>
        <v>747.12</v>
      </c>
      <c r="E412">
        <f t="shared" si="87"/>
        <v>751</v>
      </c>
      <c r="F412" t="str">
        <f ca="1" t="shared" si="82"/>
        <v> BR</v>
      </c>
      <c r="G412" t="str">
        <f ca="1" t="shared" si="83"/>
        <v>TRO Oysterdale Rd (Jct. Mine Rd)</v>
      </c>
      <c r="H412" t="e">
        <f t="shared" si="84"/>
        <v>#VALUE!</v>
      </c>
      <c r="I412" t="str">
        <f t="shared" si="91"/>
        <v>TRO Oysterdale Rd (Jct. Mine Rd)</v>
      </c>
      <c r="J412">
        <f t="shared" si="92"/>
      </c>
    </row>
    <row r="413" spans="1:10" ht="15">
      <c r="A413">
        <f ca="1" t="shared" si="88"/>
        <v>6</v>
      </c>
      <c r="B413">
        <f ca="1" t="shared" si="89"/>
        <v>76</v>
      </c>
      <c r="C413" t="str">
        <f t="shared" si="90"/>
        <v>Seg6!</v>
      </c>
      <c r="D413">
        <f ca="1" t="shared" si="81"/>
        <v>747.28</v>
      </c>
      <c r="E413">
        <f t="shared" si="87"/>
        <v>751.1</v>
      </c>
      <c r="F413" t="str">
        <f ca="1" t="shared" si="82"/>
        <v> R</v>
      </c>
      <c r="G413" t="str">
        <f ca="1" t="shared" si="83"/>
        <v>(SS) Hill Church Rd</v>
      </c>
      <c r="H413" t="e">
        <f t="shared" si="84"/>
        <v>#VALUE!</v>
      </c>
      <c r="I413" t="str">
        <f t="shared" si="91"/>
        <v>(SS) Hill Church Rd</v>
      </c>
      <c r="J413">
        <f t="shared" si="92"/>
      </c>
    </row>
    <row r="414" spans="1:10" ht="15">
      <c r="A414">
        <f ca="1" t="shared" si="88"/>
        <v>6</v>
      </c>
      <c r="B414">
        <f ca="1" t="shared" si="89"/>
        <v>77</v>
      </c>
      <c r="C414" t="str">
        <f t="shared" si="90"/>
        <v>Seg6!</v>
      </c>
      <c r="D414">
        <f ca="1" t="shared" si="81"/>
        <v>750.01</v>
      </c>
      <c r="E414">
        <f t="shared" si="87"/>
        <v>753.9</v>
      </c>
      <c r="F414" t="str">
        <f ca="1" t="shared" si="82"/>
        <v> TL + QR</v>
      </c>
      <c r="G414" t="str">
        <f ca="1" t="shared" si="83"/>
        <v>TRO Hill Church Rd (Crossing Mountain Mary Rd)</v>
      </c>
      <c r="H414" t="e">
        <f t="shared" si="84"/>
        <v>#VALUE!</v>
      </c>
      <c r="I414" t="str">
        <f t="shared" si="91"/>
        <v>TRO Hill Church Rd (Crossing Mountain Mary Rd)</v>
      </c>
      <c r="J414">
        <f t="shared" si="92"/>
      </c>
    </row>
    <row r="415" spans="1:10" ht="15">
      <c r="A415">
        <f ca="1" t="shared" si="88"/>
        <v>6</v>
      </c>
      <c r="B415">
        <f ca="1" t="shared" si="89"/>
        <v>78</v>
      </c>
      <c r="C415" t="str">
        <f t="shared" si="90"/>
        <v>Seg6!</v>
      </c>
      <c r="D415">
        <f ca="1" t="shared" si="81"/>
        <v>750.11</v>
      </c>
      <c r="E415">
        <f t="shared" si="87"/>
        <v>754</v>
      </c>
      <c r="F415" t="str">
        <f ca="1" t="shared" si="82"/>
        <v> QR</v>
      </c>
      <c r="G415" t="str">
        <f ca="1" t="shared" si="83"/>
        <v>TRO Hill Church Rd (Jct. Landis Store Rd)</v>
      </c>
      <c r="H415" t="e">
        <f t="shared" si="84"/>
        <v>#VALUE!</v>
      </c>
      <c r="I415" t="str">
        <f t="shared" si="91"/>
        <v>TRO Hill Church Rd (Jct. Landis Store Rd)</v>
      </c>
      <c r="J415">
        <f t="shared" si="92"/>
      </c>
    </row>
    <row r="416" spans="1:10" ht="15">
      <c r="A416">
        <f ca="1" t="shared" si="88"/>
        <v>6</v>
      </c>
      <c r="B416">
        <f ca="1" t="shared" si="89"/>
        <v>79</v>
      </c>
      <c r="C416" t="str">
        <f t="shared" si="90"/>
        <v>Seg6!</v>
      </c>
      <c r="D416">
        <f ca="1" t="shared" si="81"/>
        <v>752.62</v>
      </c>
      <c r="E416">
        <f t="shared" si="87"/>
        <v>756.5</v>
      </c>
      <c r="F416" t="str">
        <f ca="1" t="shared" si="82"/>
        <v> ***L</v>
      </c>
      <c r="G416" t="str">
        <f ca="1" t="shared" si="83"/>
        <v>Oberholtzer Rd</v>
      </c>
      <c r="H416" t="e">
        <f t="shared" si="84"/>
        <v>#VALUE!</v>
      </c>
      <c r="I416" t="str">
        <f t="shared" si="91"/>
        <v>Oberholtzer Rd</v>
      </c>
      <c r="J416">
        <f t="shared" si="92"/>
      </c>
    </row>
    <row r="417" spans="1:10" ht="15">
      <c r="A417">
        <f ca="1" t="shared" si="88"/>
        <v>6</v>
      </c>
      <c r="B417">
        <f ca="1" t="shared" si="89"/>
        <v>80</v>
      </c>
      <c r="C417" t="str">
        <f t="shared" si="90"/>
        <v>Seg6!</v>
      </c>
      <c r="D417">
        <f ca="1" t="shared" si="81"/>
        <v>752.86</v>
      </c>
      <c r="E417">
        <f t="shared" si="87"/>
        <v>756.7</v>
      </c>
      <c r="F417" t="str">
        <f ca="1" t="shared" si="82"/>
        <v> T L</v>
      </c>
      <c r="G417" t="str">
        <f ca="1" t="shared" si="83"/>
        <v>Old Route 100</v>
      </c>
      <c r="H417" t="e">
        <f t="shared" si="84"/>
        <v>#VALUE!</v>
      </c>
      <c r="I417" t="str">
        <f t="shared" si="91"/>
        <v>Old Route 100</v>
      </c>
      <c r="J417">
        <f t="shared" si="92"/>
      </c>
    </row>
    <row r="418" spans="1:10" ht="15">
      <c r="A418">
        <f ca="1" t="shared" si="88"/>
        <v>6</v>
      </c>
      <c r="B418">
        <f ca="1" t="shared" si="89"/>
        <v>81</v>
      </c>
      <c r="C418" t="str">
        <f t="shared" si="90"/>
        <v>Seg6!</v>
      </c>
      <c r="D418">
        <f ca="1" t="shared" si="81"/>
        <v>755.06</v>
      </c>
      <c r="E418">
        <f t="shared" si="87"/>
        <v>758.9</v>
      </c>
      <c r="F418" t="str">
        <f ca="1" t="shared" si="82"/>
        <v> ***R</v>
      </c>
      <c r="G418" t="str">
        <f ca="1" t="shared" si="83"/>
        <v>Dairy Ln</v>
      </c>
      <c r="H418" t="e">
        <f t="shared" si="84"/>
        <v>#VALUE!</v>
      </c>
      <c r="I418" t="str">
        <f t="shared" si="91"/>
        <v>Dairy Ln</v>
      </c>
      <c r="J418">
        <f t="shared" si="92"/>
      </c>
    </row>
    <row r="419" spans="1:10" ht="15">
      <c r="A419">
        <f aca="true" ca="1" t="shared" si="93" ref="A419:A424">IF(INDIRECT($C418&amp;"A"&amp;$B418+1)&lt;&gt;"",A418,A418+1)</f>
        <v>6</v>
      </c>
      <c r="B419">
        <f aca="true" ca="1" t="shared" si="94" ref="B419:B424">IF(INDIRECT($C418&amp;"A"&amp;$B418+1)&lt;&gt;"",B418+1,3)</f>
        <v>82</v>
      </c>
      <c r="C419" t="str">
        <f aca="true" t="shared" si="95" ref="C419:C424">"Seg"&amp;A419&amp;"!"</f>
        <v>Seg6!</v>
      </c>
      <c r="D419">
        <f ca="1" t="shared" si="81"/>
        <v>755.31</v>
      </c>
      <c r="E419">
        <f t="shared" si="87"/>
        <v>759.2</v>
      </c>
      <c r="F419" t="str">
        <f ca="1" t="shared" si="82"/>
        <v> T R</v>
      </c>
      <c r="G419" t="str">
        <f ca="1" t="shared" si="83"/>
        <v>Rt 100 {Ice Cream}</v>
      </c>
      <c r="H419">
        <f t="shared" si="84"/>
        <v>8</v>
      </c>
      <c r="I419" t="str">
        <f t="shared" si="91"/>
        <v>Rt 100 </v>
      </c>
      <c r="J419" t="str">
        <f t="shared" si="92"/>
        <v>Ice Cream</v>
      </c>
    </row>
    <row r="420" spans="1:10" ht="15">
      <c r="A420">
        <f ca="1" t="shared" si="93"/>
        <v>6</v>
      </c>
      <c r="B420">
        <f ca="1" t="shared" si="94"/>
        <v>83</v>
      </c>
      <c r="C420" t="str">
        <f t="shared" si="95"/>
        <v>Seg6!</v>
      </c>
      <c r="D420">
        <f ca="1" t="shared" si="81"/>
        <v>755.35</v>
      </c>
      <c r="E420">
        <f t="shared" si="87"/>
        <v>759.2</v>
      </c>
      <c r="F420" t="str">
        <f ca="1" t="shared" si="82"/>
        <v> QL</v>
      </c>
      <c r="G420" t="str">
        <f ca="1" t="shared" si="83"/>
        <v>(TFL) Niantic Rd</v>
      </c>
      <c r="H420" t="e">
        <f t="shared" si="84"/>
        <v>#VALUE!</v>
      </c>
      <c r="I420" t="str">
        <f aca="true" t="shared" si="96" ref="I420:I425">IF(ISNUMBER(H420),LEFT(G420,H420-1),G420)</f>
        <v>(TFL) Niantic Rd</v>
      </c>
      <c r="J420">
        <f aca="true" t="shared" si="97" ref="J420:J425">IF(ISNUMBER(H420),MID(G420,H420+1,LEN(G420)-H420-1),"")</f>
      </c>
    </row>
    <row r="421" spans="1:10" ht="15">
      <c r="A421">
        <f ca="1" t="shared" si="93"/>
        <v>6</v>
      </c>
      <c r="B421">
        <f ca="1" t="shared" si="94"/>
        <v>84</v>
      </c>
      <c r="C421" t="str">
        <f t="shared" si="95"/>
        <v>Seg6!</v>
      </c>
      <c r="D421">
        <f ca="1" t="shared" si="81"/>
        <v>757.97</v>
      </c>
      <c r="E421">
        <f t="shared" si="87"/>
        <v>761.9</v>
      </c>
      <c r="F421" t="str">
        <f ca="1" t="shared" si="82"/>
        <v> L</v>
      </c>
      <c r="G421" t="str">
        <f ca="1" t="shared" si="83"/>
        <v>Hill Rd</v>
      </c>
      <c r="H421" t="e">
        <f t="shared" si="84"/>
        <v>#VALUE!</v>
      </c>
      <c r="I421" t="str">
        <f t="shared" si="96"/>
        <v>Hill Rd</v>
      </c>
      <c r="J421">
        <f t="shared" si="97"/>
      </c>
    </row>
    <row r="422" spans="1:10" ht="15">
      <c r="A422">
        <f ca="1" t="shared" si="93"/>
        <v>6</v>
      </c>
      <c r="B422">
        <f ca="1" t="shared" si="94"/>
        <v>85</v>
      </c>
      <c r="C422" t="str">
        <f t="shared" si="95"/>
        <v>Seg6!</v>
      </c>
      <c r="D422">
        <f ca="1" t="shared" si="81"/>
        <v>759.64</v>
      </c>
      <c r="E422">
        <f t="shared" si="87"/>
        <v>763.5</v>
      </c>
      <c r="F422" t="str">
        <f ca="1" t="shared" si="82"/>
        <v> L</v>
      </c>
      <c r="G422" t="str">
        <f ca="1" t="shared" si="83"/>
        <v>(TFL) Rt 663</v>
      </c>
      <c r="H422" t="e">
        <f t="shared" si="84"/>
        <v>#VALUE!</v>
      </c>
      <c r="I422" t="str">
        <f t="shared" si="96"/>
        <v>(TFL) Rt 663</v>
      </c>
      <c r="J422">
        <f t="shared" si="97"/>
      </c>
    </row>
    <row r="423" spans="1:10" ht="15">
      <c r="A423">
        <f ca="1" t="shared" si="93"/>
        <v>6</v>
      </c>
      <c r="B423">
        <f ca="1" t="shared" si="94"/>
        <v>86</v>
      </c>
      <c r="C423" t="str">
        <f t="shared" si="95"/>
        <v>Seg6!</v>
      </c>
      <c r="D423">
        <f ca="1" t="shared" si="81"/>
        <v>763.09</v>
      </c>
      <c r="E423">
        <f t="shared" si="87"/>
        <v>767</v>
      </c>
      <c r="F423" t="str">
        <f ca="1" t="shared" si="82"/>
        <v> X</v>
      </c>
      <c r="G423" t="str">
        <f ca="1" t="shared" si="83"/>
        <v>(TFL) Rt 29 TRO Rt 663 / Pottstown Rd [Pennsburg] {Stores}</v>
      </c>
      <c r="H423">
        <f t="shared" si="84"/>
        <v>51</v>
      </c>
      <c r="I423" t="str">
        <f t="shared" si="96"/>
        <v>(TFL) Rt 29 TRO Rt 663 / Pottstown Rd [Pennsburg] </v>
      </c>
      <c r="J423" t="str">
        <f t="shared" si="97"/>
        <v>Stores</v>
      </c>
    </row>
    <row r="424" spans="1:10" ht="15">
      <c r="A424">
        <f ca="1" t="shared" si="93"/>
        <v>6</v>
      </c>
      <c r="B424">
        <f ca="1" t="shared" si="94"/>
        <v>87</v>
      </c>
      <c r="C424" t="str">
        <f t="shared" si="95"/>
        <v>Seg6!</v>
      </c>
      <c r="D424">
        <f ca="1" t="shared" si="81"/>
        <v>767.85</v>
      </c>
      <c r="E424">
        <f t="shared" si="87"/>
        <v>771.8</v>
      </c>
      <c r="F424" t="str">
        <f ca="1" t="shared" si="82"/>
        <v> X</v>
      </c>
      <c r="G424" t="str">
        <f ca="1" t="shared" si="83"/>
        <v>Rt 476 / PA Tpk (Almost there!)</v>
      </c>
      <c r="H424" t="e">
        <f t="shared" si="84"/>
        <v>#VALUE!</v>
      </c>
      <c r="I424" t="str">
        <f t="shared" si="96"/>
        <v>Rt 476 / PA Tpk (Almost there!)</v>
      </c>
      <c r="J424">
        <f t="shared" si="97"/>
      </c>
    </row>
    <row r="425" spans="1:10" ht="15">
      <c r="A425">
        <f ca="1">IF(INDIRECT($C424&amp;"A"&amp;$B424+1)&lt;&gt;"",A424,A424+1)</f>
        <v>6</v>
      </c>
      <c r="B425">
        <f ca="1">IF(INDIRECT($C424&amp;"A"&amp;$B424+1)&lt;&gt;"",B424+1,3)</f>
        <v>88</v>
      </c>
      <c r="C425" t="str">
        <f>"Seg"&amp;A425&amp;"!"</f>
        <v>Seg6!</v>
      </c>
      <c r="D425">
        <f ca="1" t="shared" si="81"/>
        <v>768.2</v>
      </c>
      <c r="E425">
        <f t="shared" si="87"/>
        <v>772.2</v>
      </c>
      <c r="F425" t="str">
        <f ca="1" t="shared" si="82"/>
        <v> FINISH</v>
      </c>
      <c r="G425" t="str">
        <f ca="1" t="shared" si="83"/>
        <v>Controle Hampton Inn (on right) CONGRATULATIONS!</v>
      </c>
      <c r="H425" t="e">
        <f t="shared" si="84"/>
        <v>#VALUE!</v>
      </c>
      <c r="I425" t="str">
        <f t="shared" si="96"/>
        <v>Controle Hampton Inn (on right) CONGRATULATIONS!</v>
      </c>
      <c r="J425">
        <f t="shared" si="97"/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I35" sqref="I35:M35"/>
    </sheetView>
  </sheetViews>
  <sheetFormatPr defaultColWidth="8.88671875" defaultRowHeight="15"/>
  <cols>
    <col min="1" max="1" width="28.6640625" style="0" customWidth="1"/>
    <col min="2" max="2" width="9.88671875" style="0" customWidth="1"/>
    <col min="3" max="9" width="8.6640625" style="0" customWidth="1"/>
    <col min="10" max="10" width="4.10546875" style="0" customWidth="1"/>
    <col min="11" max="16384" width="8.6640625" style="0" customWidth="1"/>
  </cols>
  <sheetData>
    <row r="1" spans="1:14" ht="15">
      <c r="A1" t="s">
        <v>1633</v>
      </c>
      <c r="B1" t="s">
        <v>1634</v>
      </c>
      <c r="C1" t="s">
        <v>1635</v>
      </c>
      <c r="D1" t="s">
        <v>1636</v>
      </c>
      <c r="E1" t="s">
        <v>1637</v>
      </c>
      <c r="F1" t="s">
        <v>1638</v>
      </c>
      <c r="G1" t="s">
        <v>1639</v>
      </c>
      <c r="H1" t="s">
        <v>1640</v>
      </c>
      <c r="K1">
        <f>INDIRECT("L"&amp;COUNTA(K2:K385)+1)</f>
        <v>37.05</v>
      </c>
      <c r="L1">
        <v>0</v>
      </c>
      <c r="M1" t="s">
        <v>2470</v>
      </c>
      <c r="N1" t="str">
        <f>"Quakertown_LittleGap_A.csv"</f>
        <v>Quakertown_LittleGap_A.csv</v>
      </c>
    </row>
    <row r="2" spans="1:13" ht="15">
      <c r="A2" t="s">
        <v>2386</v>
      </c>
      <c r="B2" t="s">
        <v>1620</v>
      </c>
      <c r="C2" t="s">
        <v>2252</v>
      </c>
      <c r="D2" t="s">
        <v>2492</v>
      </c>
      <c r="E2" t="s">
        <v>1642</v>
      </c>
      <c r="F2" t="s">
        <v>2253</v>
      </c>
      <c r="G2" t="s">
        <v>1102</v>
      </c>
      <c r="H2" t="s">
        <v>3001</v>
      </c>
      <c r="I2" t="str">
        <f aca="true" t="shared" si="0" ref="I2:I23">TRIM(E2)</f>
        <v>0.00 mi</v>
      </c>
      <c r="J2">
        <f aca="true" t="shared" si="1" ref="J2:J35">FIND("mi",I2)</f>
        <v>6</v>
      </c>
      <c r="K2" t="str">
        <f aca="true" t="shared" si="2" ref="K2:K23">LEFT(I2,J2-1)</f>
        <v>0.00 </v>
      </c>
      <c r="L2">
        <f>$L$1+K2</f>
        <v>0</v>
      </c>
      <c r="M2" t="str">
        <f aca="true" t="shared" si="3" ref="M2:M23">IF(B2&lt;&gt;" ???",B2,$M$1)</f>
        <v> Start</v>
      </c>
    </row>
    <row r="3" spans="1:13" ht="15">
      <c r="A3" t="s">
        <v>0</v>
      </c>
      <c r="B3" t="s">
        <v>1645</v>
      </c>
      <c r="C3" t="s">
        <v>1</v>
      </c>
      <c r="D3" t="s">
        <v>1654</v>
      </c>
      <c r="E3" t="s">
        <v>2492</v>
      </c>
      <c r="F3" t="s">
        <v>2</v>
      </c>
      <c r="G3" t="s">
        <v>3</v>
      </c>
      <c r="H3" t="s">
        <v>4</v>
      </c>
      <c r="I3" t="str">
        <f t="shared" si="0"/>
        <v>0.33 mi</v>
      </c>
      <c r="J3">
        <f t="shared" si="1"/>
        <v>6</v>
      </c>
      <c r="K3" t="str">
        <f t="shared" si="2"/>
        <v>0.33 </v>
      </c>
      <c r="L3">
        <f aca="true" t="shared" si="4" ref="L3:L35">$L$1+K3</f>
        <v>0.33</v>
      </c>
      <c r="M3" t="str">
        <f t="shared" si="3"/>
        <v> B R</v>
      </c>
    </row>
    <row r="4" spans="1:13" ht="15">
      <c r="A4" t="s">
        <v>5</v>
      </c>
      <c r="B4" t="s">
        <v>6</v>
      </c>
      <c r="C4" t="s">
        <v>2387</v>
      </c>
      <c r="D4" t="s">
        <v>2495</v>
      </c>
      <c r="E4" t="s">
        <v>1610</v>
      </c>
      <c r="F4" t="s">
        <v>7</v>
      </c>
      <c r="G4" t="s">
        <v>1103</v>
      </c>
      <c r="H4" t="s">
        <v>1104</v>
      </c>
      <c r="I4" t="str">
        <f t="shared" si="0"/>
        <v>0.37 mi</v>
      </c>
      <c r="J4">
        <f t="shared" si="1"/>
        <v>6</v>
      </c>
      <c r="K4" t="str">
        <f t="shared" si="2"/>
        <v>0.37 </v>
      </c>
      <c r="L4">
        <f t="shared" si="4"/>
        <v>0.37</v>
      </c>
      <c r="M4" t="str">
        <f t="shared" si="3"/>
        <v> Q TL</v>
      </c>
    </row>
    <row r="5" spans="1:13" ht="15">
      <c r="A5" t="s">
        <v>2388</v>
      </c>
      <c r="B5" t="s">
        <v>1643</v>
      </c>
      <c r="C5" t="s">
        <v>2389</v>
      </c>
      <c r="D5" t="s">
        <v>1105</v>
      </c>
      <c r="E5" t="s">
        <v>2498</v>
      </c>
      <c r="F5" t="s">
        <v>1106</v>
      </c>
      <c r="G5" t="s">
        <v>1107</v>
      </c>
      <c r="H5" t="s">
        <v>1108</v>
      </c>
      <c r="I5" t="str">
        <f t="shared" si="0"/>
        <v>0.95 mi</v>
      </c>
      <c r="J5">
        <f t="shared" si="1"/>
        <v>6</v>
      </c>
      <c r="K5" t="str">
        <f t="shared" si="2"/>
        <v>0.95 </v>
      </c>
      <c r="L5">
        <f t="shared" si="4"/>
        <v>0.95</v>
      </c>
      <c r="M5" t="str">
        <f t="shared" si="3"/>
        <v> 1st L</v>
      </c>
    </row>
    <row r="6" spans="1:13" ht="15">
      <c r="A6" t="s">
        <v>2390</v>
      </c>
      <c r="B6" t="s">
        <v>1644</v>
      </c>
      <c r="C6" t="s">
        <v>2391</v>
      </c>
      <c r="D6" t="s">
        <v>3069</v>
      </c>
      <c r="E6" t="s">
        <v>8</v>
      </c>
      <c r="F6" t="s">
        <v>2392</v>
      </c>
      <c r="G6" t="s">
        <v>1109</v>
      </c>
      <c r="H6" t="s">
        <v>1110</v>
      </c>
      <c r="I6" t="str">
        <f t="shared" si="0"/>
        <v>6.65 mi</v>
      </c>
      <c r="J6">
        <f t="shared" si="1"/>
        <v>6</v>
      </c>
      <c r="K6" t="str">
        <f t="shared" si="2"/>
        <v>6.65 </v>
      </c>
      <c r="L6">
        <f t="shared" si="4"/>
        <v>6.65</v>
      </c>
      <c r="M6" t="str">
        <f t="shared" si="3"/>
        <v> L</v>
      </c>
    </row>
    <row r="7" spans="1:13" ht="15">
      <c r="A7" t="s">
        <v>2393</v>
      </c>
      <c r="B7" t="s">
        <v>1646</v>
      </c>
      <c r="C7" t="s">
        <v>2394</v>
      </c>
      <c r="D7" t="s">
        <v>1670</v>
      </c>
      <c r="E7" t="s">
        <v>2395</v>
      </c>
      <c r="F7" t="s">
        <v>1671</v>
      </c>
      <c r="G7" t="s">
        <v>1672</v>
      </c>
      <c r="H7" t="s">
        <v>1673</v>
      </c>
      <c r="I7" t="str">
        <f t="shared" si="0"/>
        <v>8.44 mi</v>
      </c>
      <c r="J7">
        <f t="shared" si="1"/>
        <v>6</v>
      </c>
      <c r="K7" t="str">
        <f t="shared" si="2"/>
        <v>8.44 </v>
      </c>
      <c r="L7">
        <f t="shared" si="4"/>
        <v>8.44</v>
      </c>
      <c r="M7" t="str">
        <f t="shared" si="3"/>
        <v> X</v>
      </c>
    </row>
    <row r="8" spans="1:13" ht="15">
      <c r="A8" t="s">
        <v>2652</v>
      </c>
      <c r="B8" t="s">
        <v>1641</v>
      </c>
      <c r="C8" t="s">
        <v>2653</v>
      </c>
      <c r="D8" t="s">
        <v>1653</v>
      </c>
      <c r="E8" t="s">
        <v>2654</v>
      </c>
      <c r="F8" t="s">
        <v>1674</v>
      </c>
      <c r="G8" t="s">
        <v>1675</v>
      </c>
      <c r="H8" t="s">
        <v>1676</v>
      </c>
      <c r="I8" t="str">
        <f t="shared" si="0"/>
        <v>14.16 mi</v>
      </c>
      <c r="J8">
        <f t="shared" si="1"/>
        <v>7</v>
      </c>
      <c r="K8" t="str">
        <f t="shared" si="2"/>
        <v>14.16 </v>
      </c>
      <c r="L8">
        <f t="shared" si="4"/>
        <v>14.16</v>
      </c>
      <c r="M8" t="str">
        <f t="shared" si="3"/>
        <v> R</v>
      </c>
    </row>
    <row r="9" spans="1:13" ht="15">
      <c r="A9" t="s">
        <v>2655</v>
      </c>
      <c r="B9" t="s">
        <v>1641</v>
      </c>
      <c r="C9" t="s">
        <v>2656</v>
      </c>
      <c r="D9" t="s">
        <v>2480</v>
      </c>
      <c r="E9" t="s">
        <v>9</v>
      </c>
      <c r="F9" t="s">
        <v>1677</v>
      </c>
      <c r="G9" t="s">
        <v>1678</v>
      </c>
      <c r="H9" t="s">
        <v>1679</v>
      </c>
      <c r="I9" t="str">
        <f t="shared" si="0"/>
        <v>14.33 mi</v>
      </c>
      <c r="J9">
        <f t="shared" si="1"/>
        <v>7</v>
      </c>
      <c r="K9" t="str">
        <f t="shared" si="2"/>
        <v>14.33 </v>
      </c>
      <c r="L9">
        <f t="shared" si="4"/>
        <v>14.33</v>
      </c>
      <c r="M9" t="str">
        <f t="shared" si="3"/>
        <v> R</v>
      </c>
    </row>
    <row r="10" spans="1:13" ht="15">
      <c r="A10" t="s">
        <v>2657</v>
      </c>
      <c r="B10" t="s">
        <v>1644</v>
      </c>
      <c r="C10" t="s">
        <v>1680</v>
      </c>
      <c r="D10" t="s">
        <v>2481</v>
      </c>
      <c r="E10" t="s">
        <v>2658</v>
      </c>
      <c r="F10" t="s">
        <v>1681</v>
      </c>
      <c r="G10" t="s">
        <v>1682</v>
      </c>
      <c r="H10" t="s">
        <v>1683</v>
      </c>
      <c r="I10" t="str">
        <f t="shared" si="0"/>
        <v>14.53 mi</v>
      </c>
      <c r="J10">
        <f t="shared" si="1"/>
        <v>7</v>
      </c>
      <c r="K10" t="str">
        <f t="shared" si="2"/>
        <v>14.53 </v>
      </c>
      <c r="L10">
        <f t="shared" si="4"/>
        <v>14.53</v>
      </c>
      <c r="M10" t="str">
        <f t="shared" si="3"/>
        <v> L</v>
      </c>
    </row>
    <row r="11" spans="1:13" ht="15">
      <c r="A11" t="s">
        <v>1684</v>
      </c>
      <c r="B11" t="s">
        <v>1646</v>
      </c>
      <c r="C11" t="s">
        <v>1685</v>
      </c>
      <c r="D11" t="s">
        <v>1652</v>
      </c>
      <c r="E11" t="s">
        <v>2659</v>
      </c>
      <c r="F11" t="s">
        <v>1686</v>
      </c>
      <c r="G11" t="s">
        <v>1687</v>
      </c>
      <c r="H11" t="s">
        <v>1683</v>
      </c>
      <c r="I11" t="str">
        <f t="shared" si="0"/>
        <v>14.87 mi</v>
      </c>
      <c r="J11">
        <f t="shared" si="1"/>
        <v>7</v>
      </c>
      <c r="K11" t="str">
        <f t="shared" si="2"/>
        <v>14.87 </v>
      </c>
      <c r="L11">
        <f t="shared" si="4"/>
        <v>14.87</v>
      </c>
      <c r="M11" t="str">
        <f t="shared" si="3"/>
        <v> X</v>
      </c>
    </row>
    <row r="12" spans="1:13" ht="15">
      <c r="A12" t="s">
        <v>1688</v>
      </c>
      <c r="B12" t="s">
        <v>1651</v>
      </c>
      <c r="C12" t="s">
        <v>2660</v>
      </c>
      <c r="D12" t="s">
        <v>1689</v>
      </c>
      <c r="E12" t="s">
        <v>2661</v>
      </c>
      <c r="F12" t="s">
        <v>1690</v>
      </c>
      <c r="G12" t="s">
        <v>1691</v>
      </c>
      <c r="H12" t="s">
        <v>1683</v>
      </c>
      <c r="I12" t="str">
        <f t="shared" si="0"/>
        <v>15.01 mi</v>
      </c>
      <c r="J12">
        <f t="shared" si="1"/>
        <v>7</v>
      </c>
      <c r="K12" t="str">
        <f t="shared" si="2"/>
        <v>15.01 </v>
      </c>
      <c r="L12">
        <f t="shared" si="4"/>
        <v>15.01</v>
      </c>
      <c r="M12" t="str">
        <f t="shared" si="3"/>
        <v> 1st R</v>
      </c>
    </row>
    <row r="13" spans="1:13" ht="15">
      <c r="A13" t="s">
        <v>2662</v>
      </c>
      <c r="B13" t="s">
        <v>1644</v>
      </c>
      <c r="C13" t="s">
        <v>2663</v>
      </c>
      <c r="D13" t="s">
        <v>2485</v>
      </c>
      <c r="E13" t="s">
        <v>2664</v>
      </c>
      <c r="F13" t="s">
        <v>1692</v>
      </c>
      <c r="G13" t="s">
        <v>1693</v>
      </c>
      <c r="H13" t="s">
        <v>1694</v>
      </c>
      <c r="I13" t="str">
        <f t="shared" si="0"/>
        <v>17.72 mi</v>
      </c>
      <c r="J13">
        <f t="shared" si="1"/>
        <v>7</v>
      </c>
      <c r="K13" t="str">
        <f t="shared" si="2"/>
        <v>17.72 </v>
      </c>
      <c r="L13">
        <f t="shared" si="4"/>
        <v>17.72</v>
      </c>
      <c r="M13" t="str">
        <f t="shared" si="3"/>
        <v> L</v>
      </c>
    </row>
    <row r="14" spans="1:13" ht="15">
      <c r="A14" t="s">
        <v>2665</v>
      </c>
      <c r="B14" t="s">
        <v>1641</v>
      </c>
      <c r="C14" t="s">
        <v>2666</v>
      </c>
      <c r="D14" t="s">
        <v>2667</v>
      </c>
      <c r="E14" t="s">
        <v>2668</v>
      </c>
      <c r="F14" t="s">
        <v>2669</v>
      </c>
      <c r="G14" t="s">
        <v>1696</v>
      </c>
      <c r="H14" t="s">
        <v>1697</v>
      </c>
      <c r="I14" t="str">
        <f t="shared" si="0"/>
        <v>18.81 mi</v>
      </c>
      <c r="J14">
        <f t="shared" si="1"/>
        <v>7</v>
      </c>
      <c r="K14" t="str">
        <f t="shared" si="2"/>
        <v>18.81 </v>
      </c>
      <c r="L14">
        <f t="shared" si="4"/>
        <v>18.81</v>
      </c>
      <c r="M14" t="str">
        <f t="shared" si="3"/>
        <v> R</v>
      </c>
    </row>
    <row r="15" spans="1:13" ht="15">
      <c r="A15" t="s">
        <v>2670</v>
      </c>
      <c r="B15" t="s">
        <v>1647</v>
      </c>
      <c r="C15" t="s">
        <v>2671</v>
      </c>
      <c r="D15" t="s">
        <v>403</v>
      </c>
      <c r="E15" t="s">
        <v>2672</v>
      </c>
      <c r="F15" t="s">
        <v>2673</v>
      </c>
      <c r="G15" t="s">
        <v>2674</v>
      </c>
      <c r="H15" t="s">
        <v>2675</v>
      </c>
      <c r="I15" t="str">
        <f t="shared" si="0"/>
        <v>21.06 mi</v>
      </c>
      <c r="J15">
        <f t="shared" si="1"/>
        <v>7</v>
      </c>
      <c r="K15" t="str">
        <f t="shared" si="2"/>
        <v>21.06 </v>
      </c>
      <c r="L15">
        <f t="shared" si="4"/>
        <v>21.06</v>
      </c>
      <c r="M15" t="str">
        <f t="shared" si="3"/>
        <v> T L</v>
      </c>
    </row>
    <row r="16" spans="1:13" ht="15">
      <c r="A16" t="s">
        <v>2676</v>
      </c>
      <c r="B16" t="s">
        <v>1646</v>
      </c>
      <c r="C16" t="s">
        <v>2677</v>
      </c>
      <c r="D16" t="s">
        <v>1652</v>
      </c>
      <c r="E16" t="s">
        <v>2678</v>
      </c>
      <c r="F16" t="s">
        <v>2679</v>
      </c>
      <c r="G16" t="s">
        <v>2680</v>
      </c>
      <c r="H16" t="s">
        <v>3101</v>
      </c>
      <c r="I16" t="str">
        <f t="shared" si="0"/>
        <v>21.36 mi</v>
      </c>
      <c r="J16">
        <f t="shared" si="1"/>
        <v>7</v>
      </c>
      <c r="K16" t="str">
        <f t="shared" si="2"/>
        <v>21.36 </v>
      </c>
      <c r="L16">
        <f t="shared" si="4"/>
        <v>21.36</v>
      </c>
      <c r="M16" t="str">
        <f t="shared" si="3"/>
        <v> X</v>
      </c>
    </row>
    <row r="17" spans="1:13" ht="15">
      <c r="A17" t="s">
        <v>2681</v>
      </c>
      <c r="B17" t="s">
        <v>1647</v>
      </c>
      <c r="C17" t="s">
        <v>2682</v>
      </c>
      <c r="D17" t="s">
        <v>2683</v>
      </c>
      <c r="E17" t="s">
        <v>2684</v>
      </c>
      <c r="F17" t="s">
        <v>2685</v>
      </c>
      <c r="G17" t="s">
        <v>2686</v>
      </c>
      <c r="H17" t="s">
        <v>2687</v>
      </c>
      <c r="I17" t="str">
        <f t="shared" si="0"/>
        <v>21.50 mi</v>
      </c>
      <c r="J17">
        <f t="shared" si="1"/>
        <v>7</v>
      </c>
      <c r="K17" t="str">
        <f t="shared" si="2"/>
        <v>21.50 </v>
      </c>
      <c r="L17">
        <f t="shared" si="4"/>
        <v>21.5</v>
      </c>
      <c r="M17" t="str">
        <f t="shared" si="3"/>
        <v> T L</v>
      </c>
    </row>
    <row r="18" spans="1:13" ht="15">
      <c r="A18" t="s">
        <v>2688</v>
      </c>
      <c r="B18" t="s">
        <v>1648</v>
      </c>
      <c r="C18" t="s">
        <v>2689</v>
      </c>
      <c r="D18" t="s">
        <v>1269</v>
      </c>
      <c r="E18" t="s">
        <v>2255</v>
      </c>
      <c r="F18" t="s">
        <v>2690</v>
      </c>
      <c r="G18" t="s">
        <v>2691</v>
      </c>
      <c r="H18" t="s">
        <v>2692</v>
      </c>
      <c r="I18" t="str">
        <f t="shared" si="0"/>
        <v>23.02 mi</v>
      </c>
      <c r="J18">
        <f t="shared" si="1"/>
        <v>7</v>
      </c>
      <c r="K18" t="str">
        <f t="shared" si="2"/>
        <v>23.02 </v>
      </c>
      <c r="L18">
        <f t="shared" si="4"/>
        <v>23.02</v>
      </c>
      <c r="M18" t="str">
        <f t="shared" si="3"/>
        <v> T R</v>
      </c>
    </row>
    <row r="19" spans="1:13" ht="15">
      <c r="A19" t="s">
        <v>2693</v>
      </c>
      <c r="B19" t="s">
        <v>1651</v>
      </c>
      <c r="C19" t="s">
        <v>2694</v>
      </c>
      <c r="D19" t="s">
        <v>2218</v>
      </c>
      <c r="E19" t="s">
        <v>2695</v>
      </c>
      <c r="F19" t="s">
        <v>2696</v>
      </c>
      <c r="G19" t="s">
        <v>2697</v>
      </c>
      <c r="H19" t="s">
        <v>2698</v>
      </c>
      <c r="I19" t="str">
        <f t="shared" si="0"/>
        <v>23.64 mi</v>
      </c>
      <c r="J19">
        <f t="shared" si="1"/>
        <v>7</v>
      </c>
      <c r="K19" t="str">
        <f t="shared" si="2"/>
        <v>23.64 </v>
      </c>
      <c r="L19">
        <f t="shared" si="4"/>
        <v>23.64</v>
      </c>
      <c r="M19" t="str">
        <f t="shared" si="3"/>
        <v> 1st R</v>
      </c>
    </row>
    <row r="20" spans="1:13" ht="15">
      <c r="A20" t="s">
        <v>2699</v>
      </c>
      <c r="B20" t="s">
        <v>2700</v>
      </c>
      <c r="C20" t="s">
        <v>2701</v>
      </c>
      <c r="D20" t="s">
        <v>1240</v>
      </c>
      <c r="E20" t="s">
        <v>280</v>
      </c>
      <c r="F20" t="s">
        <v>2702</v>
      </c>
      <c r="G20" t="s">
        <v>2703</v>
      </c>
      <c r="H20" t="s">
        <v>2704</v>
      </c>
      <c r="I20" t="str">
        <f t="shared" si="0"/>
        <v>24.25 mi</v>
      </c>
      <c r="J20">
        <f t="shared" si="1"/>
        <v>7</v>
      </c>
      <c r="K20" t="str">
        <f t="shared" si="2"/>
        <v>24.25 </v>
      </c>
      <c r="L20">
        <f t="shared" si="4"/>
        <v>24.25</v>
      </c>
      <c r="M20" t="str">
        <f t="shared" si="3"/>
        <v> TL</v>
      </c>
    </row>
    <row r="21" spans="1:13" ht="15">
      <c r="A21" t="s">
        <v>2705</v>
      </c>
      <c r="B21" t="s">
        <v>1651</v>
      </c>
      <c r="C21" t="s">
        <v>113</v>
      </c>
      <c r="D21" t="s">
        <v>1592</v>
      </c>
      <c r="E21" t="s">
        <v>2706</v>
      </c>
      <c r="F21" t="s">
        <v>2707</v>
      </c>
      <c r="G21" t="s">
        <v>2708</v>
      </c>
      <c r="H21" t="s">
        <v>2709</v>
      </c>
      <c r="I21" t="str">
        <f t="shared" si="0"/>
        <v>24.50 mi</v>
      </c>
      <c r="J21">
        <f t="shared" si="1"/>
        <v>7</v>
      </c>
      <c r="K21" t="str">
        <f t="shared" si="2"/>
        <v>24.50 </v>
      </c>
      <c r="L21">
        <f t="shared" si="4"/>
        <v>24.5</v>
      </c>
      <c r="M21" t="str">
        <f t="shared" si="3"/>
        <v> 1st R</v>
      </c>
    </row>
    <row r="22" spans="1:13" ht="15">
      <c r="A22" t="s">
        <v>114</v>
      </c>
      <c r="B22" t="s">
        <v>1644</v>
      </c>
      <c r="C22" t="s">
        <v>2710</v>
      </c>
      <c r="D22" t="s">
        <v>2711</v>
      </c>
      <c r="E22" t="s">
        <v>2712</v>
      </c>
      <c r="F22" t="s">
        <v>2713</v>
      </c>
      <c r="G22" t="s">
        <v>2714</v>
      </c>
      <c r="H22" t="s">
        <v>2709</v>
      </c>
      <c r="I22" t="str">
        <f t="shared" si="0"/>
        <v>26.23 mi</v>
      </c>
      <c r="J22">
        <f t="shared" si="1"/>
        <v>7</v>
      </c>
      <c r="K22" t="str">
        <f t="shared" si="2"/>
        <v>26.23 </v>
      </c>
      <c r="L22">
        <f t="shared" si="4"/>
        <v>26.23</v>
      </c>
      <c r="M22" t="str">
        <f t="shared" si="3"/>
        <v> L</v>
      </c>
    </row>
    <row r="23" spans="1:13" ht="15">
      <c r="A23" t="s">
        <v>2715</v>
      </c>
      <c r="B23" t="s">
        <v>1648</v>
      </c>
      <c r="C23" t="s">
        <v>1700</v>
      </c>
      <c r="D23" t="s">
        <v>2473</v>
      </c>
      <c r="E23" t="s">
        <v>2716</v>
      </c>
      <c r="F23" t="s">
        <v>2717</v>
      </c>
      <c r="G23" t="s">
        <v>2718</v>
      </c>
      <c r="H23" t="s">
        <v>2719</v>
      </c>
      <c r="I23" t="str">
        <f t="shared" si="0"/>
        <v>27.79 mi</v>
      </c>
      <c r="J23">
        <f t="shared" si="1"/>
        <v>7</v>
      </c>
      <c r="K23" t="str">
        <f t="shared" si="2"/>
        <v>27.79 </v>
      </c>
      <c r="L23">
        <f t="shared" si="4"/>
        <v>27.79</v>
      </c>
      <c r="M23" t="str">
        <f t="shared" si="3"/>
        <v> T R</v>
      </c>
    </row>
    <row r="24" spans="1:13" ht="15">
      <c r="A24" t="s">
        <v>1701</v>
      </c>
      <c r="B24" t="s">
        <v>1646</v>
      </c>
      <c r="C24" t="s">
        <v>1096</v>
      </c>
      <c r="D24" t="s">
        <v>1097</v>
      </c>
      <c r="E24" t="s">
        <v>2720</v>
      </c>
      <c r="F24" t="s">
        <v>1098</v>
      </c>
      <c r="G24" t="s">
        <v>1099</v>
      </c>
      <c r="H24" t="s">
        <v>3082</v>
      </c>
      <c r="I24" t="str">
        <f aca="true" t="shared" si="5" ref="I24:I29">TRIM(E24)</f>
        <v>28.21 mi</v>
      </c>
      <c r="J24">
        <f t="shared" si="1"/>
        <v>7</v>
      </c>
      <c r="K24" t="str">
        <f aca="true" t="shared" si="6" ref="K24:K29">LEFT(I24,J24-1)</f>
        <v>28.21 </v>
      </c>
      <c r="L24">
        <f t="shared" si="4"/>
        <v>28.21</v>
      </c>
      <c r="M24" t="str">
        <f aca="true" t="shared" si="7" ref="M24:M29">IF(B24&lt;&gt;" ???",B24,$M$1)</f>
        <v> X</v>
      </c>
    </row>
    <row r="25" spans="1:13" ht="15">
      <c r="A25" t="s">
        <v>3083</v>
      </c>
      <c r="B25" t="s">
        <v>1648</v>
      </c>
      <c r="C25" t="s">
        <v>2721</v>
      </c>
      <c r="D25" t="s">
        <v>2476</v>
      </c>
      <c r="E25" t="s">
        <v>2722</v>
      </c>
      <c r="F25" t="s">
        <v>257</v>
      </c>
      <c r="G25" t="s">
        <v>3085</v>
      </c>
      <c r="H25" t="s">
        <v>3086</v>
      </c>
      <c r="I25" t="str">
        <f t="shared" si="5"/>
        <v>30.85 mi</v>
      </c>
      <c r="J25">
        <f t="shared" si="1"/>
        <v>7</v>
      </c>
      <c r="K25" t="str">
        <f t="shared" si="6"/>
        <v>30.85 </v>
      </c>
      <c r="L25">
        <f t="shared" si="4"/>
        <v>30.85</v>
      </c>
      <c r="M25" t="str">
        <f t="shared" si="7"/>
        <v> T R</v>
      </c>
    </row>
    <row r="26" spans="1:13" ht="15">
      <c r="A26" t="s">
        <v>2723</v>
      </c>
      <c r="B26" t="s">
        <v>1643</v>
      </c>
      <c r="C26" t="s">
        <v>3007</v>
      </c>
      <c r="D26" t="s">
        <v>3003</v>
      </c>
      <c r="E26" t="s">
        <v>2724</v>
      </c>
      <c r="F26" t="s">
        <v>3008</v>
      </c>
      <c r="G26" t="s">
        <v>2028</v>
      </c>
      <c r="H26" t="s">
        <v>3006</v>
      </c>
      <c r="I26" t="str">
        <f t="shared" si="5"/>
        <v>31.20 mi</v>
      </c>
      <c r="J26">
        <f t="shared" si="1"/>
        <v>7</v>
      </c>
      <c r="K26" t="str">
        <f t="shared" si="6"/>
        <v>31.20 </v>
      </c>
      <c r="L26">
        <f t="shared" si="4"/>
        <v>31.2</v>
      </c>
      <c r="M26" t="str">
        <f t="shared" si="7"/>
        <v> 1st L</v>
      </c>
    </row>
    <row r="27" spans="1:13" ht="15">
      <c r="A27" t="s">
        <v>2029</v>
      </c>
      <c r="B27" t="s">
        <v>1621</v>
      </c>
      <c r="C27" t="s">
        <v>2030</v>
      </c>
      <c r="D27" t="s">
        <v>3084</v>
      </c>
      <c r="E27" t="s">
        <v>2725</v>
      </c>
      <c r="F27" t="s">
        <v>2031</v>
      </c>
      <c r="G27" t="s">
        <v>2032</v>
      </c>
      <c r="H27" t="s">
        <v>2033</v>
      </c>
      <c r="I27" t="str">
        <f t="shared" si="5"/>
        <v>31.99 mi</v>
      </c>
      <c r="J27">
        <f t="shared" si="1"/>
        <v>7</v>
      </c>
      <c r="K27" t="str">
        <f t="shared" si="6"/>
        <v>31.99 </v>
      </c>
      <c r="L27">
        <f t="shared" si="4"/>
        <v>31.99</v>
      </c>
      <c r="M27" t="str">
        <f t="shared" si="7"/>
        <v> B L</v>
      </c>
    </row>
    <row r="28" spans="1:13" ht="15">
      <c r="A28" t="s">
        <v>2034</v>
      </c>
      <c r="B28" t="s">
        <v>1621</v>
      </c>
      <c r="C28" t="s">
        <v>2726</v>
      </c>
      <c r="D28" t="s">
        <v>1662</v>
      </c>
      <c r="E28" t="s">
        <v>2727</v>
      </c>
      <c r="F28" t="s">
        <v>2035</v>
      </c>
      <c r="G28" t="s">
        <v>2036</v>
      </c>
      <c r="H28" t="s">
        <v>2037</v>
      </c>
      <c r="I28" t="str">
        <f t="shared" si="5"/>
        <v>33.57 mi</v>
      </c>
      <c r="J28">
        <f t="shared" si="1"/>
        <v>7</v>
      </c>
      <c r="K28" t="str">
        <f t="shared" si="6"/>
        <v>33.57 </v>
      </c>
      <c r="L28">
        <f t="shared" si="4"/>
        <v>33.57</v>
      </c>
      <c r="M28" t="str">
        <f t="shared" si="7"/>
        <v> B L</v>
      </c>
    </row>
    <row r="29" spans="1:13" ht="15">
      <c r="A29" t="s">
        <v>2728</v>
      </c>
      <c r="B29" t="s">
        <v>1647</v>
      </c>
      <c r="C29" t="s">
        <v>2729</v>
      </c>
      <c r="D29" t="s">
        <v>1382</v>
      </c>
      <c r="E29" t="s">
        <v>2730</v>
      </c>
      <c r="F29" t="s">
        <v>2731</v>
      </c>
      <c r="G29" t="s">
        <v>2038</v>
      </c>
      <c r="H29" t="s">
        <v>2039</v>
      </c>
      <c r="I29" t="str">
        <f t="shared" si="5"/>
        <v>34.16 mi</v>
      </c>
      <c r="J29">
        <f t="shared" si="1"/>
        <v>7</v>
      </c>
      <c r="K29" t="str">
        <f t="shared" si="6"/>
        <v>34.16 </v>
      </c>
      <c r="L29">
        <f t="shared" si="4"/>
        <v>34.16</v>
      </c>
      <c r="M29" t="str">
        <f t="shared" si="7"/>
        <v> T L</v>
      </c>
    </row>
    <row r="30" spans="1:13" ht="15">
      <c r="A30" t="s">
        <v>2732</v>
      </c>
      <c r="B30" t="s">
        <v>1648</v>
      </c>
      <c r="C30" t="s">
        <v>2733</v>
      </c>
      <c r="D30" t="s">
        <v>2734</v>
      </c>
      <c r="E30" t="s">
        <v>2735</v>
      </c>
      <c r="F30" t="s">
        <v>2736</v>
      </c>
      <c r="G30" t="s">
        <v>2737</v>
      </c>
      <c r="H30" t="s">
        <v>2738</v>
      </c>
      <c r="I30" t="str">
        <f aca="true" t="shared" si="8" ref="I30:I35">TRIM(E30)</f>
        <v>34.38 mi</v>
      </c>
      <c r="J30">
        <f t="shared" si="1"/>
        <v>7</v>
      </c>
      <c r="K30" t="str">
        <f aca="true" t="shared" si="9" ref="K30:K35">LEFT(I30,J30-1)</f>
        <v>34.38 </v>
      </c>
      <c r="L30">
        <f t="shared" si="4"/>
        <v>34.38</v>
      </c>
      <c r="M30" t="str">
        <f aca="true" t="shared" si="10" ref="M30:M35">IF(B30&lt;&gt;" ???",B30,$M$1)</f>
        <v> T R</v>
      </c>
    </row>
    <row r="31" spans="1:13" ht="15">
      <c r="A31" t="s">
        <v>2739</v>
      </c>
      <c r="B31" t="s">
        <v>1644</v>
      </c>
      <c r="C31" t="s">
        <v>2740</v>
      </c>
      <c r="D31" t="s">
        <v>1663</v>
      </c>
      <c r="E31" t="s">
        <v>2741</v>
      </c>
      <c r="F31" t="s">
        <v>2742</v>
      </c>
      <c r="G31" t="s">
        <v>3087</v>
      </c>
      <c r="H31" t="s">
        <v>2743</v>
      </c>
      <c r="I31" t="str">
        <f t="shared" si="8"/>
        <v>35.38 mi</v>
      </c>
      <c r="J31">
        <f t="shared" si="1"/>
        <v>7</v>
      </c>
      <c r="K31" t="str">
        <f t="shared" si="9"/>
        <v>35.38 </v>
      </c>
      <c r="L31">
        <f t="shared" si="4"/>
        <v>35.38</v>
      </c>
      <c r="M31" t="str">
        <f t="shared" si="10"/>
        <v> L</v>
      </c>
    </row>
    <row r="32" spans="1:13" ht="15">
      <c r="A32" t="s">
        <v>2744</v>
      </c>
      <c r="B32" t="s">
        <v>1669</v>
      </c>
      <c r="C32" t="s">
        <v>2745</v>
      </c>
      <c r="D32" t="s">
        <v>2226</v>
      </c>
      <c r="E32" t="s">
        <v>2746</v>
      </c>
      <c r="F32" t="s">
        <v>115</v>
      </c>
      <c r="G32" t="s">
        <v>2747</v>
      </c>
      <c r="H32" t="s">
        <v>3534</v>
      </c>
      <c r="I32" t="str">
        <f t="shared" si="8"/>
        <v>35.45 mi</v>
      </c>
      <c r="J32">
        <f t="shared" si="1"/>
        <v>7</v>
      </c>
      <c r="K32" t="str">
        <f t="shared" si="9"/>
        <v>35.45 </v>
      </c>
      <c r="L32">
        <f t="shared" si="4"/>
        <v>35.45</v>
      </c>
      <c r="M32" t="str">
        <f t="shared" si="10"/>
        <v> STOP</v>
      </c>
    </row>
    <row r="33" spans="1:13" ht="15">
      <c r="A33" t="s">
        <v>2748</v>
      </c>
      <c r="B33" t="s">
        <v>2471</v>
      </c>
      <c r="C33" t="s">
        <v>116</v>
      </c>
      <c r="D33" t="s">
        <v>2472</v>
      </c>
      <c r="E33" t="s">
        <v>117</v>
      </c>
      <c r="F33" t="s">
        <v>118</v>
      </c>
      <c r="G33" t="s">
        <v>119</v>
      </c>
      <c r="H33" t="s">
        <v>3534</v>
      </c>
      <c r="I33" t="str">
        <f t="shared" si="8"/>
        <v>35.46 mi</v>
      </c>
      <c r="J33">
        <f t="shared" si="1"/>
        <v>7</v>
      </c>
      <c r="K33" t="str">
        <f t="shared" si="9"/>
        <v>35.46 </v>
      </c>
      <c r="L33">
        <f t="shared" si="4"/>
        <v>35.46</v>
      </c>
      <c r="M33" t="str">
        <f t="shared" si="10"/>
        <v> Backtrack</v>
      </c>
    </row>
    <row r="34" spans="1:13" ht="15">
      <c r="A34" t="s">
        <v>120</v>
      </c>
      <c r="B34" t="s">
        <v>1643</v>
      </c>
      <c r="C34" t="s">
        <v>2749</v>
      </c>
      <c r="D34" t="s">
        <v>596</v>
      </c>
      <c r="E34" t="s">
        <v>121</v>
      </c>
      <c r="F34" t="s">
        <v>122</v>
      </c>
      <c r="G34" t="s">
        <v>123</v>
      </c>
      <c r="H34" t="s">
        <v>124</v>
      </c>
      <c r="I34" t="str">
        <f t="shared" si="8"/>
        <v>35.52 mi</v>
      </c>
      <c r="J34">
        <f t="shared" si="1"/>
        <v>7</v>
      </c>
      <c r="K34" t="str">
        <f t="shared" si="9"/>
        <v>35.52 </v>
      </c>
      <c r="L34">
        <f t="shared" si="4"/>
        <v>35.52</v>
      </c>
      <c r="M34" t="str">
        <f t="shared" si="10"/>
        <v> 1st L</v>
      </c>
    </row>
    <row r="35" spans="1:13" ht="15">
      <c r="A35" t="s">
        <v>2750</v>
      </c>
      <c r="B35" t="s">
        <v>1646</v>
      </c>
      <c r="C35" t="s">
        <v>2040</v>
      </c>
      <c r="D35" t="s">
        <v>1654</v>
      </c>
      <c r="E35" t="s">
        <v>125</v>
      </c>
      <c r="F35" t="s">
        <v>2041</v>
      </c>
      <c r="G35" t="s">
        <v>3416</v>
      </c>
      <c r="H35" t="s">
        <v>3417</v>
      </c>
      <c r="I35" t="str">
        <f t="shared" si="8"/>
        <v>37.05 mi</v>
      </c>
      <c r="J35">
        <f t="shared" si="1"/>
        <v>7</v>
      </c>
      <c r="K35" t="str">
        <f t="shared" si="9"/>
        <v>37.05 </v>
      </c>
      <c r="L35">
        <f t="shared" si="4"/>
        <v>37.05</v>
      </c>
      <c r="M35" t="str">
        <f t="shared" si="10"/>
        <v> X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A20" sqref="A20"/>
    </sheetView>
  </sheetViews>
  <sheetFormatPr defaultColWidth="8.88671875" defaultRowHeight="15"/>
  <cols>
    <col min="1" max="1" width="28.6640625" style="0" customWidth="1"/>
    <col min="2" max="2" width="9.88671875" style="0" customWidth="1"/>
    <col min="3" max="9" width="8.6640625" style="0" customWidth="1"/>
    <col min="10" max="10" width="4.10546875" style="0" customWidth="1"/>
    <col min="11" max="16384" width="8.6640625" style="0" customWidth="1"/>
  </cols>
  <sheetData>
    <row r="1" spans="1:14" ht="15">
      <c r="A1" t="s">
        <v>1633</v>
      </c>
      <c r="B1" t="s">
        <v>1634</v>
      </c>
      <c r="C1" t="s">
        <v>1635</v>
      </c>
      <c r="D1" t="s">
        <v>1636</v>
      </c>
      <c r="E1" t="s">
        <v>1637</v>
      </c>
      <c r="F1" t="s">
        <v>1638</v>
      </c>
      <c r="G1" t="s">
        <v>1639</v>
      </c>
      <c r="H1" t="s">
        <v>1640</v>
      </c>
      <c r="K1">
        <f>INDIRECT("L"&amp;COUNTA(K2:K336)+1)</f>
        <v>222.94</v>
      </c>
      <c r="L1">
        <f>Seg1!K1</f>
        <v>37.05</v>
      </c>
      <c r="M1" t="s">
        <v>2470</v>
      </c>
      <c r="N1" t="str">
        <f>"LittleGap_Hallstead_E.csv"</f>
        <v>LittleGap_Hallstead_E.csv</v>
      </c>
    </row>
    <row r="2" spans="1:13" ht="15">
      <c r="A2" t="s">
        <v>2042</v>
      </c>
      <c r="B2" t="s">
        <v>2494</v>
      </c>
      <c r="C2" t="s">
        <v>2753</v>
      </c>
      <c r="D2" t="s">
        <v>3575</v>
      </c>
      <c r="E2" t="s">
        <v>1642</v>
      </c>
      <c r="F2" t="s">
        <v>2523</v>
      </c>
      <c r="G2" t="s">
        <v>2043</v>
      </c>
      <c r="H2" t="s">
        <v>2044</v>
      </c>
      <c r="I2" t="str">
        <f aca="true" t="shared" si="0" ref="I2:I16">TRIM(E2)</f>
        <v>0.00 mi</v>
      </c>
      <c r="J2">
        <f aca="true" t="shared" si="1" ref="J2:J65">FIND("mi",I2)</f>
        <v>6</v>
      </c>
      <c r="K2" t="str">
        <f aca="true" t="shared" si="2" ref="K2:K16">LEFT(I2,J2-1)</f>
        <v>0.00 </v>
      </c>
      <c r="L2">
        <f aca="true" t="shared" si="3" ref="L2:L65">$L$1+K2</f>
        <v>37.05</v>
      </c>
      <c r="M2" t="str">
        <f aca="true" t="shared" si="4" ref="M2:M16">IF(B2&lt;&gt;" ???",B2,$M$1)</f>
        <v> START</v>
      </c>
    </row>
    <row r="3" spans="1:13" ht="15">
      <c r="A3" t="s">
        <v>2754</v>
      </c>
      <c r="B3" t="s">
        <v>1648</v>
      </c>
      <c r="C3" t="s">
        <v>2755</v>
      </c>
      <c r="D3" t="s">
        <v>2045</v>
      </c>
      <c r="E3" t="s">
        <v>3575</v>
      </c>
      <c r="F3" t="s">
        <v>2046</v>
      </c>
      <c r="G3" t="s">
        <v>2047</v>
      </c>
      <c r="H3" t="s">
        <v>2037</v>
      </c>
      <c r="I3" t="str">
        <f t="shared" si="0"/>
        <v>1.86 mi</v>
      </c>
      <c r="J3">
        <f t="shared" si="1"/>
        <v>6</v>
      </c>
      <c r="K3" t="str">
        <f t="shared" si="2"/>
        <v>1.86 </v>
      </c>
      <c r="L3">
        <f t="shared" si="3"/>
        <v>38.91</v>
      </c>
      <c r="M3" t="str">
        <f t="shared" si="4"/>
        <v> T R</v>
      </c>
    </row>
    <row r="4" spans="1:13" ht="15">
      <c r="A4" t="s">
        <v>2756</v>
      </c>
      <c r="B4" t="s">
        <v>1645</v>
      </c>
      <c r="C4" t="s">
        <v>2757</v>
      </c>
      <c r="D4" t="s">
        <v>390</v>
      </c>
      <c r="E4" t="s">
        <v>2524</v>
      </c>
      <c r="F4" t="s">
        <v>126</v>
      </c>
      <c r="G4" t="s">
        <v>3418</v>
      </c>
      <c r="H4" t="s">
        <v>2048</v>
      </c>
      <c r="I4" t="str">
        <f t="shared" si="0"/>
        <v>5.89 mi</v>
      </c>
      <c r="J4">
        <f t="shared" si="1"/>
        <v>6</v>
      </c>
      <c r="K4" t="str">
        <f t="shared" si="2"/>
        <v>5.89 </v>
      </c>
      <c r="L4">
        <f t="shared" si="3"/>
        <v>42.94</v>
      </c>
      <c r="M4" t="str">
        <f t="shared" si="4"/>
        <v> B R</v>
      </c>
    </row>
    <row r="5" spans="1:13" ht="15">
      <c r="A5" t="s">
        <v>2758</v>
      </c>
      <c r="B5" t="s">
        <v>252</v>
      </c>
      <c r="C5" t="s">
        <v>2759</v>
      </c>
      <c r="D5" t="s">
        <v>255</v>
      </c>
      <c r="E5" t="s">
        <v>2525</v>
      </c>
      <c r="F5" t="s">
        <v>2235</v>
      </c>
      <c r="G5" t="s">
        <v>2236</v>
      </c>
      <c r="H5" t="s">
        <v>3419</v>
      </c>
      <c r="I5" t="str">
        <f t="shared" si="0"/>
        <v>11.16 mi</v>
      </c>
      <c r="J5">
        <f t="shared" si="1"/>
        <v>7</v>
      </c>
      <c r="K5" t="str">
        <f t="shared" si="2"/>
        <v>11.16 </v>
      </c>
      <c r="L5">
        <f t="shared" si="3"/>
        <v>48.209999999999994</v>
      </c>
      <c r="M5" t="str">
        <f t="shared" si="4"/>
        <v> ***L</v>
      </c>
    </row>
    <row r="6" spans="1:13" ht="15">
      <c r="A6" t="s">
        <v>2760</v>
      </c>
      <c r="B6" t="s">
        <v>1646</v>
      </c>
      <c r="C6" t="s">
        <v>2805</v>
      </c>
      <c r="D6" t="s">
        <v>2237</v>
      </c>
      <c r="E6" t="s">
        <v>2526</v>
      </c>
      <c r="F6" t="s">
        <v>2238</v>
      </c>
      <c r="G6" t="s">
        <v>3420</v>
      </c>
      <c r="H6" t="s">
        <v>3421</v>
      </c>
      <c r="I6" t="str">
        <f t="shared" si="0"/>
        <v>13.58 mi</v>
      </c>
      <c r="J6">
        <f t="shared" si="1"/>
        <v>7</v>
      </c>
      <c r="K6" t="str">
        <f t="shared" si="2"/>
        <v>13.58 </v>
      </c>
      <c r="L6">
        <f t="shared" si="3"/>
        <v>50.629999999999995</v>
      </c>
      <c r="M6" t="str">
        <f t="shared" si="4"/>
        <v> X</v>
      </c>
    </row>
    <row r="7" spans="1:13" ht="15">
      <c r="A7" t="s">
        <v>2806</v>
      </c>
      <c r="B7" t="s">
        <v>1648</v>
      </c>
      <c r="C7" t="s">
        <v>78</v>
      </c>
      <c r="D7" t="s">
        <v>2486</v>
      </c>
      <c r="E7" t="s">
        <v>2527</v>
      </c>
      <c r="F7" t="s">
        <v>2239</v>
      </c>
      <c r="G7" t="s">
        <v>3422</v>
      </c>
      <c r="H7" t="s">
        <v>3423</v>
      </c>
      <c r="I7" t="str">
        <f t="shared" si="0"/>
        <v>15.22 mi</v>
      </c>
      <c r="J7">
        <f t="shared" si="1"/>
        <v>7</v>
      </c>
      <c r="K7" t="str">
        <f t="shared" si="2"/>
        <v>15.22 </v>
      </c>
      <c r="L7">
        <f t="shared" si="3"/>
        <v>52.269999999999996</v>
      </c>
      <c r="M7" t="str">
        <f t="shared" si="4"/>
        <v> T R</v>
      </c>
    </row>
    <row r="8" spans="1:13" ht="15">
      <c r="A8" t="s">
        <v>79</v>
      </c>
      <c r="B8" t="s">
        <v>1644</v>
      </c>
      <c r="C8" t="s">
        <v>2240</v>
      </c>
      <c r="D8" t="s">
        <v>2241</v>
      </c>
      <c r="E8" t="s">
        <v>2528</v>
      </c>
      <c r="F8" t="s">
        <v>2242</v>
      </c>
      <c r="G8" t="s">
        <v>3429</v>
      </c>
      <c r="H8" t="s">
        <v>2243</v>
      </c>
      <c r="I8" t="str">
        <f t="shared" si="0"/>
        <v>15.77 mi</v>
      </c>
      <c r="J8">
        <f t="shared" si="1"/>
        <v>7</v>
      </c>
      <c r="K8" t="str">
        <f t="shared" si="2"/>
        <v>15.77 </v>
      </c>
      <c r="L8">
        <f t="shared" si="3"/>
        <v>52.81999999999999</v>
      </c>
      <c r="M8" t="str">
        <f t="shared" si="4"/>
        <v> L</v>
      </c>
    </row>
    <row r="9" spans="1:13" ht="15">
      <c r="A9" t="s">
        <v>2244</v>
      </c>
      <c r="B9" t="s">
        <v>1650</v>
      </c>
      <c r="C9" t="s">
        <v>3535</v>
      </c>
      <c r="D9" t="s">
        <v>2477</v>
      </c>
      <c r="E9" t="s">
        <v>2529</v>
      </c>
      <c r="F9" t="s">
        <v>3536</v>
      </c>
      <c r="G9" t="s">
        <v>2245</v>
      </c>
      <c r="H9" t="s">
        <v>2246</v>
      </c>
      <c r="I9" t="str">
        <f t="shared" si="0"/>
        <v>18.34 mi</v>
      </c>
      <c r="J9">
        <f t="shared" si="1"/>
        <v>7</v>
      </c>
      <c r="K9" t="str">
        <f t="shared" si="2"/>
        <v>18.34 </v>
      </c>
      <c r="L9">
        <f t="shared" si="3"/>
        <v>55.39</v>
      </c>
      <c r="M9" t="str">
        <f t="shared" si="4"/>
        <v> Pass</v>
      </c>
    </row>
    <row r="10" spans="1:13" ht="15">
      <c r="A10" t="s">
        <v>3537</v>
      </c>
      <c r="B10" t="s">
        <v>3538</v>
      </c>
      <c r="C10" t="s">
        <v>80</v>
      </c>
      <c r="D10" t="s">
        <v>1990</v>
      </c>
      <c r="E10" t="s">
        <v>3539</v>
      </c>
      <c r="F10" t="s">
        <v>3540</v>
      </c>
      <c r="G10" t="s">
        <v>3541</v>
      </c>
      <c r="H10" t="s">
        <v>3542</v>
      </c>
      <c r="I10" t="str">
        <f t="shared" si="0"/>
        <v>19.89 mi</v>
      </c>
      <c r="J10">
        <f t="shared" si="1"/>
        <v>7</v>
      </c>
      <c r="K10" t="str">
        <f t="shared" si="2"/>
        <v>19.89 </v>
      </c>
      <c r="L10">
        <f t="shared" si="3"/>
        <v>56.94</v>
      </c>
      <c r="M10" t="str">
        <f t="shared" si="4"/>
        <v> ***2nd L</v>
      </c>
    </row>
    <row r="11" spans="1:13" ht="15">
      <c r="A11" t="s">
        <v>81</v>
      </c>
      <c r="B11" t="s">
        <v>1648</v>
      </c>
      <c r="C11" t="s">
        <v>10</v>
      </c>
      <c r="D11" t="s">
        <v>2099</v>
      </c>
      <c r="E11" t="s">
        <v>1695</v>
      </c>
      <c r="F11" t="s">
        <v>3543</v>
      </c>
      <c r="G11" t="s">
        <v>3544</v>
      </c>
      <c r="H11" t="s">
        <v>1607</v>
      </c>
      <c r="I11" t="str">
        <f t="shared" si="0"/>
        <v>21.08 mi</v>
      </c>
      <c r="J11">
        <f t="shared" si="1"/>
        <v>7</v>
      </c>
      <c r="K11" t="str">
        <f t="shared" si="2"/>
        <v>21.08 </v>
      </c>
      <c r="L11">
        <f t="shared" si="3"/>
        <v>58.129999999999995</v>
      </c>
      <c r="M11" t="str">
        <f t="shared" si="4"/>
        <v> T R</v>
      </c>
    </row>
    <row r="12" spans="1:13" ht="15">
      <c r="A12" t="s">
        <v>1272</v>
      </c>
      <c r="B12" t="s">
        <v>1645</v>
      </c>
      <c r="C12" t="s">
        <v>82</v>
      </c>
      <c r="D12" t="s">
        <v>1097</v>
      </c>
      <c r="E12" t="s">
        <v>3545</v>
      </c>
      <c r="F12" t="s">
        <v>3546</v>
      </c>
      <c r="G12" t="s">
        <v>3547</v>
      </c>
      <c r="H12" t="s">
        <v>3548</v>
      </c>
      <c r="I12" t="str">
        <f t="shared" si="0"/>
        <v>22.73 mi</v>
      </c>
      <c r="J12">
        <f t="shared" si="1"/>
        <v>7</v>
      </c>
      <c r="K12" t="str">
        <f t="shared" si="2"/>
        <v>22.73 </v>
      </c>
      <c r="L12">
        <f t="shared" si="3"/>
        <v>59.78</v>
      </c>
      <c r="M12" t="str">
        <f t="shared" si="4"/>
        <v> B R</v>
      </c>
    </row>
    <row r="13" spans="1:13" ht="15">
      <c r="A13" t="s">
        <v>83</v>
      </c>
      <c r="B13" t="s">
        <v>1648</v>
      </c>
      <c r="C13" t="s">
        <v>2248</v>
      </c>
      <c r="D13" t="s">
        <v>3549</v>
      </c>
      <c r="E13" t="s">
        <v>3550</v>
      </c>
      <c r="F13" t="s">
        <v>3551</v>
      </c>
      <c r="G13" t="s">
        <v>3552</v>
      </c>
      <c r="H13" t="s">
        <v>3553</v>
      </c>
      <c r="I13" t="str">
        <f t="shared" si="0"/>
        <v>25.37 mi</v>
      </c>
      <c r="J13">
        <f t="shared" si="1"/>
        <v>7</v>
      </c>
      <c r="K13" t="str">
        <f t="shared" si="2"/>
        <v>25.37 </v>
      </c>
      <c r="L13">
        <f t="shared" si="3"/>
        <v>62.42</v>
      </c>
      <c r="M13" t="str">
        <f t="shared" si="4"/>
        <v> T R</v>
      </c>
    </row>
    <row r="14" spans="1:13" ht="15">
      <c r="A14" t="s">
        <v>2408</v>
      </c>
      <c r="B14" t="s">
        <v>1646</v>
      </c>
      <c r="C14" t="s">
        <v>2409</v>
      </c>
      <c r="D14" t="s">
        <v>1240</v>
      </c>
      <c r="E14" t="s">
        <v>3554</v>
      </c>
      <c r="F14" t="s">
        <v>2410</v>
      </c>
      <c r="G14" t="s">
        <v>2411</v>
      </c>
      <c r="H14" t="s">
        <v>2412</v>
      </c>
      <c r="I14" t="str">
        <f t="shared" si="0"/>
        <v>27.89 mi</v>
      </c>
      <c r="J14">
        <f t="shared" si="1"/>
        <v>7</v>
      </c>
      <c r="K14" t="str">
        <f t="shared" si="2"/>
        <v>27.89 </v>
      </c>
      <c r="L14">
        <f t="shared" si="3"/>
        <v>64.94</v>
      </c>
      <c r="M14" t="str">
        <f t="shared" si="4"/>
        <v> X</v>
      </c>
    </row>
    <row r="15" spans="1:13" ht="15">
      <c r="A15" t="s">
        <v>2413</v>
      </c>
      <c r="B15" t="s">
        <v>1643</v>
      </c>
      <c r="C15" t="s">
        <v>2414</v>
      </c>
      <c r="D15" t="s">
        <v>2415</v>
      </c>
      <c r="E15" t="s">
        <v>3555</v>
      </c>
      <c r="F15" t="s">
        <v>2416</v>
      </c>
      <c r="G15" t="s">
        <v>2417</v>
      </c>
      <c r="H15" t="s">
        <v>2418</v>
      </c>
      <c r="I15" t="str">
        <f t="shared" si="0"/>
        <v>28.15 mi</v>
      </c>
      <c r="J15">
        <f t="shared" si="1"/>
        <v>7</v>
      </c>
      <c r="K15" t="str">
        <f t="shared" si="2"/>
        <v>28.15 </v>
      </c>
      <c r="L15">
        <f t="shared" si="3"/>
        <v>65.19999999999999</v>
      </c>
      <c r="M15" t="str">
        <f t="shared" si="4"/>
        <v> 1st L</v>
      </c>
    </row>
    <row r="16" spans="1:13" ht="15">
      <c r="A16" t="s">
        <v>2419</v>
      </c>
      <c r="B16" t="s">
        <v>1643</v>
      </c>
      <c r="C16" t="s">
        <v>84</v>
      </c>
      <c r="D16" t="s">
        <v>2474</v>
      </c>
      <c r="E16" t="s">
        <v>1606</v>
      </c>
      <c r="F16" t="s">
        <v>3005</v>
      </c>
      <c r="G16" t="s">
        <v>2420</v>
      </c>
      <c r="H16" t="s">
        <v>2421</v>
      </c>
      <c r="I16" t="str">
        <f t="shared" si="0"/>
        <v>28.64 mi</v>
      </c>
      <c r="J16">
        <f t="shared" si="1"/>
        <v>7</v>
      </c>
      <c r="K16" t="str">
        <f t="shared" si="2"/>
        <v>28.64 </v>
      </c>
      <c r="L16">
        <f t="shared" si="3"/>
        <v>65.69</v>
      </c>
      <c r="M16" t="str">
        <f t="shared" si="4"/>
        <v> 1st L</v>
      </c>
    </row>
    <row r="17" spans="1:13" ht="15">
      <c r="A17" t="s">
        <v>85</v>
      </c>
      <c r="B17" t="s">
        <v>1621</v>
      </c>
      <c r="C17" t="s">
        <v>86</v>
      </c>
      <c r="D17" t="s">
        <v>2422</v>
      </c>
      <c r="E17" t="s">
        <v>3556</v>
      </c>
      <c r="F17" t="s">
        <v>2423</v>
      </c>
      <c r="G17" t="s">
        <v>2424</v>
      </c>
      <c r="H17" t="s">
        <v>2425</v>
      </c>
      <c r="I17" t="str">
        <f>TRIM(E17)</f>
        <v>29.13 mi</v>
      </c>
      <c r="J17">
        <f t="shared" si="1"/>
        <v>7</v>
      </c>
      <c r="K17" t="str">
        <f>LEFT(I17,J17-1)</f>
        <v>29.13 </v>
      </c>
      <c r="L17">
        <f t="shared" si="3"/>
        <v>66.17999999999999</v>
      </c>
      <c r="M17" t="str">
        <f>IF(B17&lt;&gt;" ???",B17,$M$1)</f>
        <v> B L</v>
      </c>
    </row>
    <row r="18" spans="1:13" ht="15">
      <c r="A18" t="s">
        <v>87</v>
      </c>
      <c r="B18" t="s">
        <v>1645</v>
      </c>
      <c r="C18" t="s">
        <v>88</v>
      </c>
      <c r="D18" t="s">
        <v>2426</v>
      </c>
      <c r="E18" t="s">
        <v>3557</v>
      </c>
      <c r="F18" t="s">
        <v>2427</v>
      </c>
      <c r="G18" t="s">
        <v>2428</v>
      </c>
      <c r="H18" t="s">
        <v>2429</v>
      </c>
      <c r="I18" t="str">
        <f>TRIM(E18)</f>
        <v>29.96 mi</v>
      </c>
      <c r="J18">
        <f t="shared" si="1"/>
        <v>7</v>
      </c>
      <c r="K18" t="str">
        <f>LEFT(I18,J18-1)</f>
        <v>29.96 </v>
      </c>
      <c r="L18">
        <f t="shared" si="3"/>
        <v>67.00999999999999</v>
      </c>
      <c r="M18" t="str">
        <f>IF(B18&lt;&gt;" ???",B18,$M$1)</f>
        <v> B R</v>
      </c>
    </row>
    <row r="19" spans="1:13" ht="15">
      <c r="A19" t="s">
        <v>1367</v>
      </c>
      <c r="B19" t="s">
        <v>1647</v>
      </c>
      <c r="C19" t="s">
        <v>89</v>
      </c>
      <c r="D19" t="s">
        <v>2474</v>
      </c>
      <c r="E19" t="s">
        <v>3558</v>
      </c>
      <c r="F19" t="s">
        <v>2430</v>
      </c>
      <c r="G19" t="s">
        <v>2431</v>
      </c>
      <c r="H19" t="s">
        <v>3425</v>
      </c>
      <c r="I19" t="str">
        <f>TRIM(E19)</f>
        <v>30.40 mi</v>
      </c>
      <c r="J19">
        <f t="shared" si="1"/>
        <v>7</v>
      </c>
      <c r="K19" t="str">
        <f>LEFT(I19,J19-1)</f>
        <v>30.40 </v>
      </c>
      <c r="L19">
        <f t="shared" si="3"/>
        <v>67.44999999999999</v>
      </c>
      <c r="M19" t="str">
        <f>IF(B19&lt;&gt;" ???",B19,$M$1)</f>
        <v> T L</v>
      </c>
    </row>
    <row r="20" spans="1:13" ht="15">
      <c r="A20" t="s">
        <v>90</v>
      </c>
      <c r="B20" t="s">
        <v>1643</v>
      </c>
      <c r="C20" t="s">
        <v>91</v>
      </c>
      <c r="D20" t="s">
        <v>2496</v>
      </c>
      <c r="E20" t="s">
        <v>3559</v>
      </c>
      <c r="F20" t="s">
        <v>2432</v>
      </c>
      <c r="G20" t="s">
        <v>2433</v>
      </c>
      <c r="H20" t="s">
        <v>2434</v>
      </c>
      <c r="I20" t="str">
        <f>TRIM(E20)</f>
        <v>30.90 mi</v>
      </c>
      <c r="J20">
        <f t="shared" si="1"/>
        <v>7</v>
      </c>
      <c r="K20" t="str">
        <f>LEFT(I20,J20-1)</f>
        <v>30.90 </v>
      </c>
      <c r="L20">
        <f t="shared" si="3"/>
        <v>67.94999999999999</v>
      </c>
      <c r="M20" t="str">
        <f>IF(B20&lt;&gt;" ???",B20,$M$1)</f>
        <v> 1st L</v>
      </c>
    </row>
    <row r="21" spans="1:13" ht="15">
      <c r="A21" t="s">
        <v>92</v>
      </c>
      <c r="B21" t="s">
        <v>1641</v>
      </c>
      <c r="C21" t="s">
        <v>2435</v>
      </c>
      <c r="D21" t="s">
        <v>2481</v>
      </c>
      <c r="E21" t="s">
        <v>3560</v>
      </c>
      <c r="F21" t="s">
        <v>2436</v>
      </c>
      <c r="G21" t="s">
        <v>2437</v>
      </c>
      <c r="H21" t="s">
        <v>2438</v>
      </c>
      <c r="I21" t="str">
        <f>TRIM(E21)</f>
        <v>31.85 mi</v>
      </c>
      <c r="J21">
        <f t="shared" si="1"/>
        <v>7</v>
      </c>
      <c r="K21" t="str">
        <f>LEFT(I21,J21-1)</f>
        <v>31.85 </v>
      </c>
      <c r="L21">
        <f t="shared" si="3"/>
        <v>68.9</v>
      </c>
      <c r="M21" t="str">
        <f>IF(B21&lt;&gt;" ???",B21,$M$1)</f>
        <v> R</v>
      </c>
    </row>
    <row r="22" spans="1:13" ht="15">
      <c r="A22" t="s">
        <v>2439</v>
      </c>
      <c r="B22" t="s">
        <v>1643</v>
      </c>
      <c r="C22" t="s">
        <v>93</v>
      </c>
      <c r="D22" t="s">
        <v>2485</v>
      </c>
      <c r="E22" t="s">
        <v>3561</v>
      </c>
      <c r="F22" t="s">
        <v>2440</v>
      </c>
      <c r="G22" t="s">
        <v>2441</v>
      </c>
      <c r="H22" t="s">
        <v>2442</v>
      </c>
      <c r="I22" t="str">
        <f aca="true" t="shared" si="5" ref="I22:I85">TRIM(E22)</f>
        <v>32.19 mi</v>
      </c>
      <c r="J22">
        <f t="shared" si="1"/>
        <v>7</v>
      </c>
      <c r="K22" t="str">
        <f aca="true" t="shared" si="6" ref="K22:K85">LEFT(I22,J22-1)</f>
        <v>32.19 </v>
      </c>
      <c r="L22">
        <f t="shared" si="3"/>
        <v>69.24</v>
      </c>
      <c r="M22" t="str">
        <f aca="true" t="shared" si="7" ref="M22:M85">IF(B22&lt;&gt;" ???",B22,$M$1)</f>
        <v> 1st L</v>
      </c>
    </row>
    <row r="23" spans="1:13" ht="15">
      <c r="A23" t="s">
        <v>94</v>
      </c>
      <c r="B23" t="s">
        <v>1648</v>
      </c>
      <c r="C23" t="s">
        <v>2443</v>
      </c>
      <c r="D23" t="s">
        <v>2444</v>
      </c>
      <c r="E23" t="s">
        <v>3562</v>
      </c>
      <c r="F23" t="s">
        <v>2445</v>
      </c>
      <c r="G23" t="s">
        <v>2446</v>
      </c>
      <c r="H23" t="s">
        <v>2447</v>
      </c>
      <c r="I23" t="str">
        <f t="shared" si="5"/>
        <v>33.28 mi</v>
      </c>
      <c r="J23">
        <f t="shared" si="1"/>
        <v>7</v>
      </c>
      <c r="K23" t="str">
        <f t="shared" si="6"/>
        <v>33.28 </v>
      </c>
      <c r="L23">
        <f t="shared" si="3"/>
        <v>70.33</v>
      </c>
      <c r="M23" t="str">
        <f t="shared" si="7"/>
        <v> T R</v>
      </c>
    </row>
    <row r="24" spans="1:13" ht="15">
      <c r="A24" t="s">
        <v>2448</v>
      </c>
      <c r="B24" t="s">
        <v>1621</v>
      </c>
      <c r="C24" t="s">
        <v>95</v>
      </c>
      <c r="D24" t="s">
        <v>3431</v>
      </c>
      <c r="E24" t="s">
        <v>3563</v>
      </c>
      <c r="F24" t="s">
        <v>2449</v>
      </c>
      <c r="G24" t="s">
        <v>2450</v>
      </c>
      <c r="H24" t="s">
        <v>2451</v>
      </c>
      <c r="I24" t="str">
        <f t="shared" si="5"/>
        <v>34.46 mi</v>
      </c>
      <c r="J24">
        <f t="shared" si="1"/>
        <v>7</v>
      </c>
      <c r="K24" t="str">
        <f t="shared" si="6"/>
        <v>34.46 </v>
      </c>
      <c r="L24">
        <f t="shared" si="3"/>
        <v>71.50999999999999</v>
      </c>
      <c r="M24" t="str">
        <f t="shared" si="7"/>
        <v> B L</v>
      </c>
    </row>
    <row r="25" spans="1:13" ht="15">
      <c r="A25" t="s">
        <v>96</v>
      </c>
      <c r="B25" t="s">
        <v>1644</v>
      </c>
      <c r="C25" t="s">
        <v>2452</v>
      </c>
      <c r="D25" t="s">
        <v>1654</v>
      </c>
      <c r="E25" t="s">
        <v>3564</v>
      </c>
      <c r="F25" t="s">
        <v>2453</v>
      </c>
      <c r="G25" t="s">
        <v>2454</v>
      </c>
      <c r="H25" t="s">
        <v>2455</v>
      </c>
      <c r="I25" t="str">
        <f t="shared" si="5"/>
        <v>35.21 mi</v>
      </c>
      <c r="J25">
        <f t="shared" si="1"/>
        <v>7</v>
      </c>
      <c r="K25" t="str">
        <f t="shared" si="6"/>
        <v>35.21 </v>
      </c>
      <c r="L25">
        <f t="shared" si="3"/>
        <v>72.25999999999999</v>
      </c>
      <c r="M25" t="str">
        <f t="shared" si="7"/>
        <v> L</v>
      </c>
    </row>
    <row r="26" spans="1:13" ht="15">
      <c r="A26" t="s">
        <v>2456</v>
      </c>
      <c r="B26" t="s">
        <v>1648</v>
      </c>
      <c r="C26" t="s">
        <v>2457</v>
      </c>
      <c r="D26" t="s">
        <v>2473</v>
      </c>
      <c r="E26" t="s">
        <v>3565</v>
      </c>
      <c r="F26" t="s">
        <v>2458</v>
      </c>
      <c r="G26" t="s">
        <v>2459</v>
      </c>
      <c r="H26" t="s">
        <v>2460</v>
      </c>
      <c r="I26" t="str">
        <f t="shared" si="5"/>
        <v>35.25 mi</v>
      </c>
      <c r="J26">
        <f t="shared" si="1"/>
        <v>7</v>
      </c>
      <c r="K26" t="str">
        <f t="shared" si="6"/>
        <v>35.25 </v>
      </c>
      <c r="L26">
        <f t="shared" si="3"/>
        <v>72.3</v>
      </c>
      <c r="M26" t="str">
        <f t="shared" si="7"/>
        <v> T R</v>
      </c>
    </row>
    <row r="27" spans="1:13" ht="15">
      <c r="A27" t="s">
        <v>2461</v>
      </c>
      <c r="B27" t="s">
        <v>1647</v>
      </c>
      <c r="C27" t="s">
        <v>97</v>
      </c>
      <c r="D27" t="s">
        <v>2492</v>
      </c>
      <c r="E27" t="s">
        <v>3566</v>
      </c>
      <c r="F27" t="s">
        <v>2462</v>
      </c>
      <c r="G27" t="s">
        <v>2463</v>
      </c>
      <c r="H27" t="s">
        <v>2464</v>
      </c>
      <c r="I27" t="str">
        <f t="shared" si="5"/>
        <v>35.67 mi</v>
      </c>
      <c r="J27">
        <f t="shared" si="1"/>
        <v>7</v>
      </c>
      <c r="K27" t="str">
        <f t="shared" si="6"/>
        <v>35.67 </v>
      </c>
      <c r="L27">
        <f t="shared" si="3"/>
        <v>72.72</v>
      </c>
      <c r="M27" t="str">
        <f t="shared" si="7"/>
        <v> T L</v>
      </c>
    </row>
    <row r="28" spans="1:13" ht="15">
      <c r="A28" t="s">
        <v>98</v>
      </c>
      <c r="B28" t="s">
        <v>1647</v>
      </c>
      <c r="C28" t="s">
        <v>218</v>
      </c>
      <c r="D28" t="s">
        <v>1267</v>
      </c>
      <c r="E28" t="s">
        <v>3567</v>
      </c>
      <c r="F28" t="s">
        <v>2465</v>
      </c>
      <c r="G28" t="s">
        <v>2466</v>
      </c>
      <c r="H28" t="s">
        <v>2467</v>
      </c>
      <c r="I28" t="str">
        <f t="shared" si="5"/>
        <v>36.00 mi</v>
      </c>
      <c r="J28">
        <f t="shared" si="1"/>
        <v>7</v>
      </c>
      <c r="K28" t="str">
        <f t="shared" si="6"/>
        <v>36.00 </v>
      </c>
      <c r="L28">
        <f t="shared" si="3"/>
        <v>73.05</v>
      </c>
      <c r="M28" t="str">
        <f t="shared" si="7"/>
        <v> T L</v>
      </c>
    </row>
    <row r="29" spans="1:13" ht="15">
      <c r="A29" t="s">
        <v>219</v>
      </c>
      <c r="B29" t="s">
        <v>220</v>
      </c>
      <c r="C29" t="s">
        <v>221</v>
      </c>
      <c r="D29" t="s">
        <v>2482</v>
      </c>
      <c r="E29" t="s">
        <v>3568</v>
      </c>
      <c r="F29" t="s">
        <v>222</v>
      </c>
      <c r="G29" t="s">
        <v>2468</v>
      </c>
      <c r="H29" t="s">
        <v>2469</v>
      </c>
      <c r="I29" t="str">
        <f t="shared" si="5"/>
        <v>36.26 mi</v>
      </c>
      <c r="J29">
        <f t="shared" si="1"/>
        <v>7</v>
      </c>
      <c r="K29" t="str">
        <f t="shared" si="6"/>
        <v>36.26 </v>
      </c>
      <c r="L29">
        <f t="shared" si="3"/>
        <v>73.31</v>
      </c>
      <c r="M29" t="str">
        <f t="shared" si="7"/>
        <v> Special Stop+X</v>
      </c>
    </row>
    <row r="30" spans="1:13" ht="15">
      <c r="A30" t="s">
        <v>223</v>
      </c>
      <c r="B30" t="s">
        <v>1631</v>
      </c>
      <c r="C30" t="s">
        <v>224</v>
      </c>
      <c r="D30" t="s">
        <v>1663</v>
      </c>
      <c r="E30" t="s">
        <v>225</v>
      </c>
      <c r="F30" t="s">
        <v>226</v>
      </c>
      <c r="G30" t="s">
        <v>227</v>
      </c>
      <c r="H30" t="s">
        <v>228</v>
      </c>
      <c r="I30" t="str">
        <f t="shared" si="5"/>
        <v>36.43 mi</v>
      </c>
      <c r="J30">
        <f t="shared" si="1"/>
        <v>7</v>
      </c>
      <c r="K30" t="str">
        <f t="shared" si="6"/>
        <v>36.43 </v>
      </c>
      <c r="L30">
        <f t="shared" si="3"/>
        <v>73.47999999999999</v>
      </c>
      <c r="M30" t="str">
        <f t="shared" si="7"/>
        <v> Straight</v>
      </c>
    </row>
    <row r="31" spans="1:13" ht="15">
      <c r="A31" t="s">
        <v>229</v>
      </c>
      <c r="B31" t="s">
        <v>1644</v>
      </c>
      <c r="C31" t="s">
        <v>230</v>
      </c>
      <c r="D31" t="s">
        <v>12</v>
      </c>
      <c r="E31" t="s">
        <v>2568</v>
      </c>
      <c r="F31" t="s">
        <v>3112</v>
      </c>
      <c r="G31" t="s">
        <v>3113</v>
      </c>
      <c r="H31" t="s">
        <v>3114</v>
      </c>
      <c r="I31" t="str">
        <f t="shared" si="5"/>
        <v>36.51 mi</v>
      </c>
      <c r="J31">
        <f t="shared" si="1"/>
        <v>7</v>
      </c>
      <c r="K31" t="str">
        <f t="shared" si="6"/>
        <v>36.51 </v>
      </c>
      <c r="L31">
        <f t="shared" si="3"/>
        <v>73.56</v>
      </c>
      <c r="M31" t="str">
        <f t="shared" si="7"/>
        <v> L</v>
      </c>
    </row>
    <row r="32" spans="1:13" ht="15">
      <c r="A32" t="s">
        <v>3115</v>
      </c>
      <c r="B32" t="s">
        <v>1641</v>
      </c>
      <c r="C32" t="s">
        <v>3116</v>
      </c>
      <c r="D32" t="s">
        <v>1649</v>
      </c>
      <c r="E32" t="s">
        <v>3117</v>
      </c>
      <c r="F32" t="s">
        <v>3118</v>
      </c>
      <c r="G32" t="s">
        <v>3119</v>
      </c>
      <c r="H32" t="s">
        <v>3120</v>
      </c>
      <c r="I32" t="str">
        <f t="shared" si="5"/>
        <v>36.75 mi</v>
      </c>
      <c r="J32">
        <f t="shared" si="1"/>
        <v>7</v>
      </c>
      <c r="K32" t="str">
        <f t="shared" si="6"/>
        <v>36.75 </v>
      </c>
      <c r="L32">
        <f t="shared" si="3"/>
        <v>73.8</v>
      </c>
      <c r="M32" t="str">
        <f t="shared" si="7"/>
        <v> R</v>
      </c>
    </row>
    <row r="33" spans="1:13" ht="15">
      <c r="A33" t="s">
        <v>3121</v>
      </c>
      <c r="B33" t="s">
        <v>3122</v>
      </c>
      <c r="C33" t="s">
        <v>3123</v>
      </c>
      <c r="D33" t="s">
        <v>2473</v>
      </c>
      <c r="E33" t="s">
        <v>3569</v>
      </c>
      <c r="F33" t="s">
        <v>3124</v>
      </c>
      <c r="G33" t="s">
        <v>3125</v>
      </c>
      <c r="H33" t="s">
        <v>3126</v>
      </c>
      <c r="I33" t="str">
        <f t="shared" si="5"/>
        <v>36.86 mi</v>
      </c>
      <c r="J33">
        <f t="shared" si="1"/>
        <v>7</v>
      </c>
      <c r="K33" t="str">
        <f t="shared" si="6"/>
        <v>36.86 </v>
      </c>
      <c r="L33">
        <f t="shared" si="3"/>
        <v>73.91</v>
      </c>
      <c r="M33" t="str">
        <f t="shared" si="7"/>
        <v> Q BR</v>
      </c>
    </row>
    <row r="34" spans="1:13" ht="15">
      <c r="A34" t="s">
        <v>3127</v>
      </c>
      <c r="B34" t="s">
        <v>1646</v>
      </c>
      <c r="C34" t="s">
        <v>3128</v>
      </c>
      <c r="D34" t="s">
        <v>2478</v>
      </c>
      <c r="E34" t="s">
        <v>3129</v>
      </c>
      <c r="F34" t="s">
        <v>3130</v>
      </c>
      <c r="G34" t="s">
        <v>3131</v>
      </c>
      <c r="H34" t="s">
        <v>3132</v>
      </c>
      <c r="I34" t="str">
        <f t="shared" si="5"/>
        <v>37.28 mi</v>
      </c>
      <c r="J34">
        <f t="shared" si="1"/>
        <v>7</v>
      </c>
      <c r="K34" t="str">
        <f t="shared" si="6"/>
        <v>37.28 </v>
      </c>
      <c r="L34">
        <f t="shared" si="3"/>
        <v>74.33</v>
      </c>
      <c r="M34" t="str">
        <f t="shared" si="7"/>
        <v> X</v>
      </c>
    </row>
    <row r="35" spans="1:13" ht="15">
      <c r="A35" t="s">
        <v>3133</v>
      </c>
      <c r="B35" t="s">
        <v>3134</v>
      </c>
      <c r="C35" t="s">
        <v>3135</v>
      </c>
      <c r="D35" t="s">
        <v>1665</v>
      </c>
      <c r="E35" t="s">
        <v>3136</v>
      </c>
      <c r="F35" t="s">
        <v>3137</v>
      </c>
      <c r="G35" t="s">
        <v>3131</v>
      </c>
      <c r="H35" t="s">
        <v>3138</v>
      </c>
      <c r="I35" t="str">
        <f t="shared" si="5"/>
        <v>37.33 mi</v>
      </c>
      <c r="J35">
        <f t="shared" si="1"/>
        <v>7</v>
      </c>
      <c r="K35" t="str">
        <f t="shared" si="6"/>
        <v>37.33 </v>
      </c>
      <c r="L35">
        <f t="shared" si="3"/>
        <v>74.38</v>
      </c>
      <c r="M35" t="str">
        <f t="shared" si="7"/>
        <v> Q Merge / Caution</v>
      </c>
    </row>
    <row r="36" spans="1:13" ht="15">
      <c r="A36" t="s">
        <v>3139</v>
      </c>
      <c r="B36" t="s">
        <v>1621</v>
      </c>
      <c r="C36" t="s">
        <v>2807</v>
      </c>
      <c r="D36" t="s">
        <v>3140</v>
      </c>
      <c r="E36" t="s">
        <v>3141</v>
      </c>
      <c r="F36" t="s">
        <v>3142</v>
      </c>
      <c r="G36" t="s">
        <v>2417</v>
      </c>
      <c r="H36" t="s">
        <v>3143</v>
      </c>
      <c r="I36" t="str">
        <f t="shared" si="5"/>
        <v>37.72 mi</v>
      </c>
      <c r="J36">
        <f t="shared" si="1"/>
        <v>7</v>
      </c>
      <c r="K36" t="str">
        <f t="shared" si="6"/>
        <v>37.72 </v>
      </c>
      <c r="L36">
        <f t="shared" si="3"/>
        <v>74.77</v>
      </c>
      <c r="M36" t="str">
        <f t="shared" si="7"/>
        <v> B L</v>
      </c>
    </row>
    <row r="37" spans="1:13" ht="15">
      <c r="A37" t="s">
        <v>2808</v>
      </c>
      <c r="B37" t="s">
        <v>3144</v>
      </c>
      <c r="C37" t="s">
        <v>3145</v>
      </c>
      <c r="D37" t="s">
        <v>403</v>
      </c>
      <c r="E37" t="s">
        <v>3146</v>
      </c>
      <c r="F37" t="s">
        <v>3147</v>
      </c>
      <c r="G37" t="s">
        <v>3148</v>
      </c>
      <c r="H37" t="s">
        <v>3149</v>
      </c>
      <c r="I37" t="str">
        <f t="shared" si="5"/>
        <v>39.47 mi</v>
      </c>
      <c r="J37">
        <f t="shared" si="1"/>
        <v>7</v>
      </c>
      <c r="K37" t="str">
        <f t="shared" si="6"/>
        <v>39.47 </v>
      </c>
      <c r="L37">
        <f t="shared" si="3"/>
        <v>76.52</v>
      </c>
      <c r="M37" t="str">
        <f t="shared" si="7"/>
        <v> ***R</v>
      </c>
    </row>
    <row r="38" spans="1:13" ht="15">
      <c r="A38" t="s">
        <v>3150</v>
      </c>
      <c r="B38" t="s">
        <v>1646</v>
      </c>
      <c r="C38" t="s">
        <v>3151</v>
      </c>
      <c r="D38" t="s">
        <v>3152</v>
      </c>
      <c r="E38" t="s">
        <v>3153</v>
      </c>
      <c r="F38" t="s">
        <v>3154</v>
      </c>
      <c r="G38" t="s">
        <v>3155</v>
      </c>
      <c r="H38" t="s">
        <v>3156</v>
      </c>
      <c r="I38" t="str">
        <f t="shared" si="5"/>
        <v>39.78 mi</v>
      </c>
      <c r="J38">
        <f t="shared" si="1"/>
        <v>7</v>
      </c>
      <c r="K38" t="str">
        <f t="shared" si="6"/>
        <v>39.78 </v>
      </c>
      <c r="L38">
        <f t="shared" si="3"/>
        <v>76.83</v>
      </c>
      <c r="M38" t="str">
        <f t="shared" si="7"/>
        <v> X</v>
      </c>
    </row>
    <row r="39" spans="1:13" ht="15">
      <c r="A39" t="s">
        <v>3157</v>
      </c>
      <c r="B39" t="s">
        <v>1631</v>
      </c>
      <c r="C39" t="s">
        <v>3158</v>
      </c>
      <c r="D39" t="s">
        <v>1305</v>
      </c>
      <c r="E39" t="s">
        <v>3159</v>
      </c>
      <c r="F39" t="s">
        <v>3160</v>
      </c>
      <c r="G39" t="s">
        <v>3161</v>
      </c>
      <c r="H39" t="s">
        <v>3162</v>
      </c>
      <c r="I39" t="str">
        <f t="shared" si="5"/>
        <v>41.11 mi</v>
      </c>
      <c r="J39">
        <f t="shared" si="1"/>
        <v>7</v>
      </c>
      <c r="K39" t="str">
        <f t="shared" si="6"/>
        <v>41.11 </v>
      </c>
      <c r="L39">
        <f t="shared" si="3"/>
        <v>78.16</v>
      </c>
      <c r="M39" t="str">
        <f t="shared" si="7"/>
        <v> Straight</v>
      </c>
    </row>
    <row r="40" spans="1:13" ht="15">
      <c r="A40" t="s">
        <v>3163</v>
      </c>
      <c r="B40" t="s">
        <v>256</v>
      </c>
      <c r="C40" t="s">
        <v>3164</v>
      </c>
      <c r="D40" t="s">
        <v>3165</v>
      </c>
      <c r="E40" t="s">
        <v>3166</v>
      </c>
      <c r="F40" t="s">
        <v>3167</v>
      </c>
      <c r="G40" t="s">
        <v>3168</v>
      </c>
      <c r="H40" t="s">
        <v>3169</v>
      </c>
      <c r="I40" t="str">
        <f t="shared" si="5"/>
        <v>42.19 mi</v>
      </c>
      <c r="J40">
        <f t="shared" si="1"/>
        <v>7</v>
      </c>
      <c r="K40" t="str">
        <f t="shared" si="6"/>
        <v>42.19 </v>
      </c>
      <c r="L40">
        <f t="shared" si="3"/>
        <v>79.24</v>
      </c>
      <c r="M40" t="str">
        <f t="shared" si="7"/>
        <v> TL + QR</v>
      </c>
    </row>
    <row r="41" spans="1:13" ht="15">
      <c r="A41" t="s">
        <v>3170</v>
      </c>
      <c r="B41" t="s">
        <v>1647</v>
      </c>
      <c r="C41" t="s">
        <v>3406</v>
      </c>
      <c r="D41" t="s">
        <v>3171</v>
      </c>
      <c r="E41" t="s">
        <v>3172</v>
      </c>
      <c r="F41" t="s">
        <v>3173</v>
      </c>
      <c r="G41" t="s">
        <v>3174</v>
      </c>
      <c r="H41" t="s">
        <v>3175</v>
      </c>
      <c r="I41" t="str">
        <f t="shared" si="5"/>
        <v>43.40 mi</v>
      </c>
      <c r="J41">
        <f t="shared" si="1"/>
        <v>7</v>
      </c>
      <c r="K41" t="str">
        <f t="shared" si="6"/>
        <v>43.40 </v>
      </c>
      <c r="L41">
        <f t="shared" si="3"/>
        <v>80.44999999999999</v>
      </c>
      <c r="M41" t="str">
        <f t="shared" si="7"/>
        <v> T L</v>
      </c>
    </row>
    <row r="42" spans="1:13" ht="15">
      <c r="A42" t="s">
        <v>3407</v>
      </c>
      <c r="B42" t="s">
        <v>1647</v>
      </c>
      <c r="C42" t="s">
        <v>3408</v>
      </c>
      <c r="D42" t="s">
        <v>1267</v>
      </c>
      <c r="E42" t="s">
        <v>3176</v>
      </c>
      <c r="F42" t="s">
        <v>3409</v>
      </c>
      <c r="G42" t="s">
        <v>3410</v>
      </c>
      <c r="H42" t="s">
        <v>3411</v>
      </c>
      <c r="I42" t="str">
        <f t="shared" si="5"/>
        <v>45.91 mi</v>
      </c>
      <c r="J42">
        <f t="shared" si="1"/>
        <v>7</v>
      </c>
      <c r="K42" t="str">
        <f t="shared" si="6"/>
        <v>45.91 </v>
      </c>
      <c r="L42">
        <f t="shared" si="3"/>
        <v>82.96</v>
      </c>
      <c r="M42" t="str">
        <f t="shared" si="7"/>
        <v> T L</v>
      </c>
    </row>
    <row r="43" spans="1:13" ht="15">
      <c r="A43" t="s">
        <v>3412</v>
      </c>
      <c r="B43" t="s">
        <v>1641</v>
      </c>
      <c r="C43" t="s">
        <v>3413</v>
      </c>
      <c r="D43" t="s">
        <v>3424</v>
      </c>
      <c r="E43" t="s">
        <v>3177</v>
      </c>
      <c r="F43" t="s">
        <v>3414</v>
      </c>
      <c r="G43" t="s">
        <v>3415</v>
      </c>
      <c r="H43" t="s">
        <v>1156</v>
      </c>
      <c r="I43" t="str">
        <f t="shared" si="5"/>
        <v>46.17 mi</v>
      </c>
      <c r="J43">
        <f t="shared" si="1"/>
        <v>7</v>
      </c>
      <c r="K43" t="str">
        <f t="shared" si="6"/>
        <v>46.17 </v>
      </c>
      <c r="L43">
        <f t="shared" si="3"/>
        <v>83.22</v>
      </c>
      <c r="M43" t="str">
        <f t="shared" si="7"/>
        <v> R</v>
      </c>
    </row>
    <row r="44" spans="1:13" ht="15">
      <c r="A44" t="s">
        <v>1157</v>
      </c>
      <c r="B44" t="s">
        <v>1647</v>
      </c>
      <c r="C44" t="s">
        <v>3178</v>
      </c>
      <c r="D44" t="s">
        <v>2488</v>
      </c>
      <c r="E44" t="s">
        <v>3179</v>
      </c>
      <c r="F44" t="s">
        <v>1158</v>
      </c>
      <c r="G44" t="s">
        <v>1159</v>
      </c>
      <c r="H44" t="s">
        <v>1156</v>
      </c>
      <c r="I44" t="str">
        <f t="shared" si="5"/>
        <v>46.26 mi</v>
      </c>
      <c r="J44">
        <f t="shared" si="1"/>
        <v>7</v>
      </c>
      <c r="K44" t="str">
        <f t="shared" si="6"/>
        <v>46.26 </v>
      </c>
      <c r="L44">
        <f t="shared" si="3"/>
        <v>83.31</v>
      </c>
      <c r="M44" t="str">
        <f t="shared" si="7"/>
        <v> T L</v>
      </c>
    </row>
    <row r="45" spans="1:13" ht="15">
      <c r="A45" t="s">
        <v>3180</v>
      </c>
      <c r="B45" t="s">
        <v>1669</v>
      </c>
      <c r="C45" t="s">
        <v>3181</v>
      </c>
      <c r="D45" t="s">
        <v>1622</v>
      </c>
      <c r="E45" t="s">
        <v>3182</v>
      </c>
      <c r="F45" t="s">
        <v>1160</v>
      </c>
      <c r="G45" t="s">
        <v>1161</v>
      </c>
      <c r="H45" t="s">
        <v>1162</v>
      </c>
      <c r="I45" t="str">
        <f t="shared" si="5"/>
        <v>46.35 mi</v>
      </c>
      <c r="J45">
        <f t="shared" si="1"/>
        <v>7</v>
      </c>
      <c r="K45" t="str">
        <f t="shared" si="6"/>
        <v>46.35 </v>
      </c>
      <c r="L45">
        <f t="shared" si="3"/>
        <v>83.4</v>
      </c>
      <c r="M45" t="str">
        <f t="shared" si="7"/>
        <v> STOP</v>
      </c>
    </row>
    <row r="46" spans="1:13" ht="15">
      <c r="A46" t="s">
        <v>3183</v>
      </c>
      <c r="B46" t="s">
        <v>2471</v>
      </c>
      <c r="C46" t="s">
        <v>3184</v>
      </c>
      <c r="D46" t="s">
        <v>1664</v>
      </c>
      <c r="E46" t="s">
        <v>3185</v>
      </c>
      <c r="F46" t="s">
        <v>1163</v>
      </c>
      <c r="G46" t="s">
        <v>1164</v>
      </c>
      <c r="H46" t="s">
        <v>1165</v>
      </c>
      <c r="I46" t="str">
        <f t="shared" si="5"/>
        <v>46.37 mi</v>
      </c>
      <c r="J46">
        <f t="shared" si="1"/>
        <v>7</v>
      </c>
      <c r="K46" t="str">
        <f t="shared" si="6"/>
        <v>46.37 </v>
      </c>
      <c r="L46">
        <f t="shared" si="3"/>
        <v>83.41999999999999</v>
      </c>
      <c r="M46" t="str">
        <f t="shared" si="7"/>
        <v> Backtrack</v>
      </c>
    </row>
    <row r="47" spans="1:13" ht="15">
      <c r="A47" t="s">
        <v>3502</v>
      </c>
      <c r="B47" t="s">
        <v>1166</v>
      </c>
      <c r="C47" t="s">
        <v>1167</v>
      </c>
      <c r="D47" t="s">
        <v>1649</v>
      </c>
      <c r="E47" t="s">
        <v>3186</v>
      </c>
      <c r="F47" t="s">
        <v>1168</v>
      </c>
      <c r="G47" t="s">
        <v>1169</v>
      </c>
      <c r="H47" t="s">
        <v>1170</v>
      </c>
      <c r="I47" t="str">
        <f t="shared" si="5"/>
        <v>46.50 mi</v>
      </c>
      <c r="J47">
        <f t="shared" si="1"/>
        <v>7</v>
      </c>
      <c r="K47" t="str">
        <f t="shared" si="6"/>
        <v>46.50 </v>
      </c>
      <c r="L47">
        <f t="shared" si="3"/>
        <v>83.55</v>
      </c>
      <c r="M47" t="str">
        <f t="shared" si="7"/>
        <v> 1st B L</v>
      </c>
    </row>
    <row r="48" spans="1:13" ht="15">
      <c r="A48" t="s">
        <v>1171</v>
      </c>
      <c r="B48" t="s">
        <v>1643</v>
      </c>
      <c r="C48" t="s">
        <v>1295</v>
      </c>
      <c r="D48" t="s">
        <v>1296</v>
      </c>
      <c r="E48" t="s">
        <v>3187</v>
      </c>
      <c r="F48" t="s">
        <v>1297</v>
      </c>
      <c r="G48" t="s">
        <v>1298</v>
      </c>
      <c r="H48" t="s">
        <v>1299</v>
      </c>
      <c r="I48" t="str">
        <f t="shared" si="5"/>
        <v>46.60 mi</v>
      </c>
      <c r="J48">
        <f t="shared" si="1"/>
        <v>7</v>
      </c>
      <c r="K48" t="str">
        <f t="shared" si="6"/>
        <v>46.60 </v>
      </c>
      <c r="L48">
        <f t="shared" si="3"/>
        <v>83.65</v>
      </c>
      <c r="M48" t="str">
        <f t="shared" si="7"/>
        <v> 1st L</v>
      </c>
    </row>
    <row r="49" spans="1:13" ht="15">
      <c r="A49" t="s">
        <v>1300</v>
      </c>
      <c r="B49" t="s">
        <v>1650</v>
      </c>
      <c r="C49" t="s">
        <v>3188</v>
      </c>
      <c r="D49" t="s">
        <v>1301</v>
      </c>
      <c r="E49" t="s">
        <v>3189</v>
      </c>
      <c r="F49" t="s">
        <v>1302</v>
      </c>
      <c r="G49" t="s">
        <v>1303</v>
      </c>
      <c r="H49" t="s">
        <v>1304</v>
      </c>
      <c r="I49" t="str">
        <f t="shared" si="5"/>
        <v>48.50 mi</v>
      </c>
      <c r="J49">
        <f t="shared" si="1"/>
        <v>7</v>
      </c>
      <c r="K49" t="str">
        <f t="shared" si="6"/>
        <v>48.50 </v>
      </c>
      <c r="L49">
        <f t="shared" si="3"/>
        <v>85.55</v>
      </c>
      <c r="M49" t="str">
        <f t="shared" si="7"/>
        <v> Pass</v>
      </c>
    </row>
    <row r="50" spans="1:13" ht="15">
      <c r="A50" t="s">
        <v>484</v>
      </c>
      <c r="B50" t="s">
        <v>1646</v>
      </c>
      <c r="C50" t="s">
        <v>485</v>
      </c>
      <c r="D50" t="s">
        <v>1305</v>
      </c>
      <c r="E50" t="s">
        <v>486</v>
      </c>
      <c r="F50" t="s">
        <v>1306</v>
      </c>
      <c r="G50" t="s">
        <v>1776</v>
      </c>
      <c r="H50" t="s">
        <v>1777</v>
      </c>
      <c r="I50" t="str">
        <f t="shared" si="5"/>
        <v>52.68 mi</v>
      </c>
      <c r="J50">
        <f t="shared" si="1"/>
        <v>7</v>
      </c>
      <c r="K50" t="str">
        <f t="shared" si="6"/>
        <v>52.68 </v>
      </c>
      <c r="L50">
        <f t="shared" si="3"/>
        <v>89.72999999999999</v>
      </c>
      <c r="M50" t="str">
        <f t="shared" si="7"/>
        <v> X</v>
      </c>
    </row>
    <row r="51" spans="1:13" ht="15">
      <c r="A51" t="s">
        <v>487</v>
      </c>
      <c r="B51" t="s">
        <v>1651</v>
      </c>
      <c r="C51" t="s">
        <v>488</v>
      </c>
      <c r="D51" t="s">
        <v>2571</v>
      </c>
      <c r="E51" t="s">
        <v>489</v>
      </c>
      <c r="F51" t="s">
        <v>490</v>
      </c>
      <c r="G51" t="s">
        <v>1778</v>
      </c>
      <c r="H51" t="s">
        <v>1779</v>
      </c>
      <c r="I51" t="str">
        <f t="shared" si="5"/>
        <v>53.76 mi</v>
      </c>
      <c r="J51">
        <f t="shared" si="1"/>
        <v>7</v>
      </c>
      <c r="K51" t="str">
        <f t="shared" si="6"/>
        <v>53.76 </v>
      </c>
      <c r="L51">
        <f t="shared" si="3"/>
        <v>90.81</v>
      </c>
      <c r="M51" t="str">
        <f t="shared" si="7"/>
        <v> 1st R</v>
      </c>
    </row>
    <row r="52" spans="1:13" ht="15">
      <c r="A52" t="s">
        <v>491</v>
      </c>
      <c r="B52" t="s">
        <v>492</v>
      </c>
      <c r="C52" t="s">
        <v>493</v>
      </c>
      <c r="D52" t="s">
        <v>2957</v>
      </c>
      <c r="E52" t="s">
        <v>494</v>
      </c>
      <c r="F52" t="s">
        <v>495</v>
      </c>
      <c r="G52" t="s">
        <v>496</v>
      </c>
      <c r="H52" t="s">
        <v>1170</v>
      </c>
      <c r="I52" t="str">
        <f t="shared" si="5"/>
        <v>55.03 mi</v>
      </c>
      <c r="J52">
        <f t="shared" si="1"/>
        <v>7</v>
      </c>
      <c r="K52" t="str">
        <f t="shared" si="6"/>
        <v>55.03 </v>
      </c>
      <c r="L52">
        <f t="shared" si="3"/>
        <v>92.08</v>
      </c>
      <c r="M52" t="str">
        <f t="shared" si="7"/>
        <v> EXTREME CAUTION</v>
      </c>
    </row>
    <row r="53" spans="1:13" ht="15">
      <c r="A53" t="s">
        <v>497</v>
      </c>
      <c r="B53" t="s">
        <v>1648</v>
      </c>
      <c r="C53" t="s">
        <v>1780</v>
      </c>
      <c r="D53" t="s">
        <v>1781</v>
      </c>
      <c r="E53" t="s">
        <v>498</v>
      </c>
      <c r="F53" t="s">
        <v>1782</v>
      </c>
      <c r="G53" t="s">
        <v>1783</v>
      </c>
      <c r="H53" t="s">
        <v>1165</v>
      </c>
      <c r="I53" t="str">
        <f t="shared" si="5"/>
        <v>55.87 mi</v>
      </c>
      <c r="J53">
        <f t="shared" si="1"/>
        <v>7</v>
      </c>
      <c r="K53" t="str">
        <f t="shared" si="6"/>
        <v>55.87 </v>
      </c>
      <c r="L53">
        <f t="shared" si="3"/>
        <v>92.91999999999999</v>
      </c>
      <c r="M53" t="str">
        <f t="shared" si="7"/>
        <v> T R</v>
      </c>
    </row>
    <row r="54" spans="1:13" ht="15">
      <c r="A54" t="s">
        <v>1784</v>
      </c>
      <c r="B54" t="s">
        <v>1645</v>
      </c>
      <c r="C54" t="s">
        <v>1785</v>
      </c>
      <c r="D54" t="s">
        <v>3578</v>
      </c>
      <c r="E54" t="s">
        <v>499</v>
      </c>
      <c r="F54" t="s">
        <v>1786</v>
      </c>
      <c r="G54" t="s">
        <v>1787</v>
      </c>
      <c r="H54" t="s">
        <v>1788</v>
      </c>
      <c r="I54" t="str">
        <f t="shared" si="5"/>
        <v>65.55 mi</v>
      </c>
      <c r="J54">
        <f t="shared" si="1"/>
        <v>7</v>
      </c>
      <c r="K54" t="str">
        <f t="shared" si="6"/>
        <v>65.55 </v>
      </c>
      <c r="L54">
        <f t="shared" si="3"/>
        <v>102.6</v>
      </c>
      <c r="M54" t="str">
        <f t="shared" si="7"/>
        <v> B R</v>
      </c>
    </row>
    <row r="55" spans="1:13" ht="15">
      <c r="A55" t="s">
        <v>1789</v>
      </c>
      <c r="B55" t="s">
        <v>1621</v>
      </c>
      <c r="C55" t="s">
        <v>2809</v>
      </c>
      <c r="D55" t="s">
        <v>3152</v>
      </c>
      <c r="E55" t="s">
        <v>500</v>
      </c>
      <c r="F55" t="s">
        <v>501</v>
      </c>
      <c r="G55" t="s">
        <v>1791</v>
      </c>
      <c r="H55" t="s">
        <v>1792</v>
      </c>
      <c r="I55" t="str">
        <f t="shared" si="5"/>
        <v>66.24 mi</v>
      </c>
      <c r="J55">
        <f t="shared" si="1"/>
        <v>7</v>
      </c>
      <c r="K55" t="str">
        <f t="shared" si="6"/>
        <v>66.24 </v>
      </c>
      <c r="L55">
        <f t="shared" si="3"/>
        <v>103.28999999999999</v>
      </c>
      <c r="M55" t="str">
        <f t="shared" si="7"/>
        <v> B L</v>
      </c>
    </row>
    <row r="56" spans="1:13" ht="15">
      <c r="A56" t="s">
        <v>2810</v>
      </c>
      <c r="B56" t="s">
        <v>1631</v>
      </c>
      <c r="C56" t="s">
        <v>502</v>
      </c>
      <c r="D56" t="s">
        <v>1240</v>
      </c>
      <c r="E56" t="s">
        <v>503</v>
      </c>
      <c r="F56" t="s">
        <v>504</v>
      </c>
      <c r="G56" t="s">
        <v>505</v>
      </c>
      <c r="H56" t="s">
        <v>506</v>
      </c>
      <c r="I56" t="str">
        <f t="shared" si="5"/>
        <v>67.58 mi</v>
      </c>
      <c r="J56">
        <f t="shared" si="1"/>
        <v>7</v>
      </c>
      <c r="K56" t="str">
        <f t="shared" si="6"/>
        <v>67.58 </v>
      </c>
      <c r="L56">
        <f t="shared" si="3"/>
        <v>104.63</v>
      </c>
      <c r="M56" t="str">
        <f t="shared" si="7"/>
        <v> Straight</v>
      </c>
    </row>
    <row r="57" spans="1:13" ht="15">
      <c r="A57" t="s">
        <v>507</v>
      </c>
      <c r="B57" t="s">
        <v>1644</v>
      </c>
      <c r="C57" t="s">
        <v>2811</v>
      </c>
      <c r="D57" t="s">
        <v>508</v>
      </c>
      <c r="E57" t="s">
        <v>509</v>
      </c>
      <c r="F57" t="s">
        <v>510</v>
      </c>
      <c r="G57" t="s">
        <v>511</v>
      </c>
      <c r="H57" t="s">
        <v>512</v>
      </c>
      <c r="I57" t="str">
        <f t="shared" si="5"/>
        <v>67.82 mi</v>
      </c>
      <c r="J57">
        <f t="shared" si="1"/>
        <v>7</v>
      </c>
      <c r="K57" t="str">
        <f t="shared" si="6"/>
        <v>67.82 </v>
      </c>
      <c r="L57">
        <f t="shared" si="3"/>
        <v>104.86999999999999</v>
      </c>
      <c r="M57" t="str">
        <f t="shared" si="7"/>
        <v> L</v>
      </c>
    </row>
    <row r="58" spans="1:13" ht="15">
      <c r="A58" t="s">
        <v>2812</v>
      </c>
      <c r="B58" t="s">
        <v>1650</v>
      </c>
      <c r="C58" t="s">
        <v>513</v>
      </c>
      <c r="D58" t="s">
        <v>2548</v>
      </c>
      <c r="E58" t="s">
        <v>514</v>
      </c>
      <c r="F58" t="s">
        <v>515</v>
      </c>
      <c r="G58" t="s">
        <v>516</v>
      </c>
      <c r="H58" t="s">
        <v>517</v>
      </c>
      <c r="I58" t="str">
        <f t="shared" si="5"/>
        <v>70.07 mi</v>
      </c>
      <c r="J58">
        <f t="shared" si="1"/>
        <v>7</v>
      </c>
      <c r="K58" t="str">
        <f t="shared" si="6"/>
        <v>70.07 </v>
      </c>
      <c r="L58">
        <f t="shared" si="3"/>
        <v>107.11999999999999</v>
      </c>
      <c r="M58" t="str">
        <f t="shared" si="7"/>
        <v> Pass</v>
      </c>
    </row>
    <row r="59" spans="1:13" ht="15">
      <c r="A59" t="s">
        <v>518</v>
      </c>
      <c r="B59" t="s">
        <v>1644</v>
      </c>
      <c r="C59" t="s">
        <v>519</v>
      </c>
      <c r="D59" t="s">
        <v>2475</v>
      </c>
      <c r="E59" t="s">
        <v>520</v>
      </c>
      <c r="F59" t="s">
        <v>521</v>
      </c>
      <c r="G59" t="s">
        <v>522</v>
      </c>
      <c r="H59" t="s">
        <v>523</v>
      </c>
      <c r="I59" t="str">
        <f t="shared" si="5"/>
        <v>70.86 mi</v>
      </c>
      <c r="J59">
        <f t="shared" si="1"/>
        <v>7</v>
      </c>
      <c r="K59" t="str">
        <f t="shared" si="6"/>
        <v>70.86 </v>
      </c>
      <c r="L59">
        <f t="shared" si="3"/>
        <v>107.91</v>
      </c>
      <c r="M59" t="str">
        <f t="shared" si="7"/>
        <v> L</v>
      </c>
    </row>
    <row r="60" spans="1:13" ht="15">
      <c r="A60" t="s">
        <v>524</v>
      </c>
      <c r="B60" t="s">
        <v>525</v>
      </c>
      <c r="C60" t="s">
        <v>526</v>
      </c>
      <c r="D60" t="s">
        <v>1221</v>
      </c>
      <c r="E60" t="s">
        <v>527</v>
      </c>
      <c r="F60" t="s">
        <v>528</v>
      </c>
      <c r="G60" t="s">
        <v>529</v>
      </c>
      <c r="H60" t="s">
        <v>530</v>
      </c>
      <c r="I60" t="str">
        <f t="shared" si="5"/>
        <v>71.39 mi</v>
      </c>
      <c r="J60">
        <f t="shared" si="1"/>
        <v>7</v>
      </c>
      <c r="K60" t="str">
        <f t="shared" si="6"/>
        <v>71.39 </v>
      </c>
      <c r="L60">
        <f t="shared" si="3"/>
        <v>108.44</v>
      </c>
      <c r="M60" t="str">
        <f t="shared" si="7"/>
        <v> BL</v>
      </c>
    </row>
    <row r="61" spans="1:13" ht="15">
      <c r="A61" t="s">
        <v>531</v>
      </c>
      <c r="B61" t="s">
        <v>1648</v>
      </c>
      <c r="C61" t="s">
        <v>532</v>
      </c>
      <c r="D61" t="s">
        <v>533</v>
      </c>
      <c r="E61" t="s">
        <v>534</v>
      </c>
      <c r="F61" t="s">
        <v>535</v>
      </c>
      <c r="G61" t="s">
        <v>536</v>
      </c>
      <c r="H61" t="s">
        <v>537</v>
      </c>
      <c r="I61" t="str">
        <f t="shared" si="5"/>
        <v>72.42 mi</v>
      </c>
      <c r="J61">
        <f t="shared" si="1"/>
        <v>7</v>
      </c>
      <c r="K61" t="str">
        <f t="shared" si="6"/>
        <v>72.42 </v>
      </c>
      <c r="L61">
        <f t="shared" si="3"/>
        <v>109.47</v>
      </c>
      <c r="M61" t="str">
        <f t="shared" si="7"/>
        <v> T R</v>
      </c>
    </row>
    <row r="62" spans="1:13" ht="15">
      <c r="A62" t="s">
        <v>538</v>
      </c>
      <c r="B62" t="s">
        <v>3009</v>
      </c>
      <c r="C62" t="s">
        <v>539</v>
      </c>
      <c r="D62" t="s">
        <v>2247</v>
      </c>
      <c r="E62" t="s">
        <v>540</v>
      </c>
      <c r="F62" t="s">
        <v>541</v>
      </c>
      <c r="G62" t="s">
        <v>542</v>
      </c>
      <c r="H62" t="s">
        <v>543</v>
      </c>
      <c r="I62" t="str">
        <f t="shared" si="5"/>
        <v>73.08 mi</v>
      </c>
      <c r="J62">
        <f t="shared" si="1"/>
        <v>7</v>
      </c>
      <c r="K62" t="str">
        <f t="shared" si="6"/>
        <v>73.08 </v>
      </c>
      <c r="L62">
        <f t="shared" si="3"/>
        <v>110.13</v>
      </c>
      <c r="M62" t="str">
        <f t="shared" si="7"/>
        <v> Caution</v>
      </c>
    </row>
    <row r="63" spans="1:13" ht="15">
      <c r="A63" t="s">
        <v>544</v>
      </c>
      <c r="B63" t="s">
        <v>3258</v>
      </c>
      <c r="C63" t="s">
        <v>3259</v>
      </c>
      <c r="D63" t="s">
        <v>3260</v>
      </c>
      <c r="E63" t="s">
        <v>3261</v>
      </c>
      <c r="F63" t="s">
        <v>3262</v>
      </c>
      <c r="G63" t="s">
        <v>3263</v>
      </c>
      <c r="H63" t="s">
        <v>3264</v>
      </c>
      <c r="I63" t="str">
        <f t="shared" si="5"/>
        <v>75.71 mi</v>
      </c>
      <c r="J63">
        <f t="shared" si="1"/>
        <v>7</v>
      </c>
      <c r="K63" t="str">
        <f t="shared" si="6"/>
        <v>75.71 </v>
      </c>
      <c r="L63">
        <f t="shared" si="3"/>
        <v>112.75999999999999</v>
      </c>
      <c r="M63" t="str">
        <f t="shared" si="7"/>
        <v> TL+QBR</v>
      </c>
    </row>
    <row r="64" spans="1:13" ht="15">
      <c r="A64" t="s">
        <v>444</v>
      </c>
      <c r="B64" t="s">
        <v>1647</v>
      </c>
      <c r="C64" t="s">
        <v>445</v>
      </c>
      <c r="D64" t="s">
        <v>395</v>
      </c>
      <c r="E64" t="s">
        <v>446</v>
      </c>
      <c r="F64" t="s">
        <v>447</v>
      </c>
      <c r="G64" t="s">
        <v>448</v>
      </c>
      <c r="H64" t="s">
        <v>449</v>
      </c>
      <c r="I64" t="str">
        <f t="shared" si="5"/>
        <v>83.13 mi</v>
      </c>
      <c r="J64">
        <f t="shared" si="1"/>
        <v>7</v>
      </c>
      <c r="K64" t="str">
        <f t="shared" si="6"/>
        <v>83.13 </v>
      </c>
      <c r="L64">
        <f t="shared" si="3"/>
        <v>120.17999999999999</v>
      </c>
      <c r="M64" t="str">
        <f t="shared" si="7"/>
        <v> T L</v>
      </c>
    </row>
    <row r="65" spans="1:13" ht="15">
      <c r="A65" t="s">
        <v>450</v>
      </c>
      <c r="B65" t="s">
        <v>1669</v>
      </c>
      <c r="C65" t="s">
        <v>451</v>
      </c>
      <c r="D65" t="s">
        <v>2226</v>
      </c>
      <c r="E65" t="s">
        <v>452</v>
      </c>
      <c r="F65" t="s">
        <v>453</v>
      </c>
      <c r="G65" t="s">
        <v>454</v>
      </c>
      <c r="H65" t="s">
        <v>455</v>
      </c>
      <c r="I65" t="str">
        <f t="shared" si="5"/>
        <v>84.30 mi</v>
      </c>
      <c r="J65">
        <f t="shared" si="1"/>
        <v>7</v>
      </c>
      <c r="K65" t="str">
        <f t="shared" si="6"/>
        <v>84.30 </v>
      </c>
      <c r="L65">
        <f t="shared" si="3"/>
        <v>121.35</v>
      </c>
      <c r="M65" t="str">
        <f t="shared" si="7"/>
        <v> STOP</v>
      </c>
    </row>
    <row r="66" spans="1:13" ht="15">
      <c r="A66" t="s">
        <v>456</v>
      </c>
      <c r="B66" t="s">
        <v>1623</v>
      </c>
      <c r="C66" t="s">
        <v>457</v>
      </c>
      <c r="D66" t="s">
        <v>12</v>
      </c>
      <c r="E66" t="s">
        <v>458</v>
      </c>
      <c r="F66" t="s">
        <v>459</v>
      </c>
      <c r="G66" t="s">
        <v>460</v>
      </c>
      <c r="H66" t="s">
        <v>455</v>
      </c>
      <c r="I66" t="str">
        <f t="shared" si="5"/>
        <v>84.31 mi</v>
      </c>
      <c r="J66">
        <f aca="true" t="shared" si="8" ref="J66:J117">FIND("mi",I66)</f>
        <v>7</v>
      </c>
      <c r="K66" t="str">
        <f t="shared" si="6"/>
        <v>84.31 </v>
      </c>
      <c r="L66">
        <f aca="true" t="shared" si="9" ref="L66:L117">$L$1+K66</f>
        <v>121.36</v>
      </c>
      <c r="M66" t="str">
        <f t="shared" si="7"/>
        <v> Continue</v>
      </c>
    </row>
    <row r="67" spans="1:13" ht="15">
      <c r="A67" t="s">
        <v>461</v>
      </c>
      <c r="B67" t="s">
        <v>1631</v>
      </c>
      <c r="C67" t="s">
        <v>462</v>
      </c>
      <c r="D67" t="s">
        <v>463</v>
      </c>
      <c r="E67" t="s">
        <v>464</v>
      </c>
      <c r="F67" t="s">
        <v>465</v>
      </c>
      <c r="G67" t="s">
        <v>466</v>
      </c>
      <c r="H67" t="s">
        <v>467</v>
      </c>
      <c r="I67" t="str">
        <f t="shared" si="5"/>
        <v>84.55 mi</v>
      </c>
      <c r="J67">
        <f t="shared" si="8"/>
        <v>7</v>
      </c>
      <c r="K67" t="str">
        <f t="shared" si="6"/>
        <v>84.55 </v>
      </c>
      <c r="L67">
        <f t="shared" si="9"/>
        <v>121.6</v>
      </c>
      <c r="M67" t="str">
        <f t="shared" si="7"/>
        <v> Straight</v>
      </c>
    </row>
    <row r="68" spans="1:13" ht="15">
      <c r="A68" t="s">
        <v>468</v>
      </c>
      <c r="B68" t="s">
        <v>1631</v>
      </c>
      <c r="C68" t="s">
        <v>469</v>
      </c>
      <c r="D68" t="s">
        <v>470</v>
      </c>
      <c r="E68" t="s">
        <v>471</v>
      </c>
      <c r="F68" t="s">
        <v>472</v>
      </c>
      <c r="G68" t="s">
        <v>473</v>
      </c>
      <c r="H68" t="s">
        <v>474</v>
      </c>
      <c r="I68" t="str">
        <f t="shared" si="5"/>
        <v>87.38 mi</v>
      </c>
      <c r="J68">
        <f t="shared" si="8"/>
        <v>7</v>
      </c>
      <c r="K68" t="str">
        <f t="shared" si="6"/>
        <v>87.38 </v>
      </c>
      <c r="L68">
        <f t="shared" si="9"/>
        <v>124.42999999999999</v>
      </c>
      <c r="M68" t="str">
        <f t="shared" si="7"/>
        <v> Straight</v>
      </c>
    </row>
    <row r="69" spans="1:13" ht="15">
      <c r="A69" t="s">
        <v>475</v>
      </c>
      <c r="B69" t="s">
        <v>1650</v>
      </c>
      <c r="C69" t="s">
        <v>476</v>
      </c>
      <c r="D69" t="s">
        <v>2498</v>
      </c>
      <c r="E69" t="s">
        <v>477</v>
      </c>
      <c r="F69" t="s">
        <v>478</v>
      </c>
      <c r="G69" t="s">
        <v>479</v>
      </c>
      <c r="H69" t="s">
        <v>480</v>
      </c>
      <c r="I69" t="str">
        <f t="shared" si="5"/>
        <v>89.88 mi</v>
      </c>
      <c r="J69">
        <f t="shared" si="8"/>
        <v>7</v>
      </c>
      <c r="K69" t="str">
        <f t="shared" si="6"/>
        <v>89.88 </v>
      </c>
      <c r="L69">
        <f t="shared" si="9"/>
        <v>126.92999999999999</v>
      </c>
      <c r="M69" t="str">
        <f t="shared" si="7"/>
        <v> Pass</v>
      </c>
    </row>
    <row r="70" spans="1:13" ht="15">
      <c r="A70" t="s">
        <v>2762</v>
      </c>
      <c r="B70" t="s">
        <v>3144</v>
      </c>
      <c r="C70" t="s">
        <v>2813</v>
      </c>
      <c r="D70" t="s">
        <v>2763</v>
      </c>
      <c r="E70" t="s">
        <v>2764</v>
      </c>
      <c r="F70" t="s">
        <v>2765</v>
      </c>
      <c r="G70" t="s">
        <v>2766</v>
      </c>
      <c r="H70" t="s">
        <v>2767</v>
      </c>
      <c r="I70" t="str">
        <f t="shared" si="5"/>
        <v>90.83 mi</v>
      </c>
      <c r="J70">
        <f t="shared" si="8"/>
        <v>7</v>
      </c>
      <c r="K70" t="str">
        <f t="shared" si="6"/>
        <v>90.83 </v>
      </c>
      <c r="L70">
        <f t="shared" si="9"/>
        <v>127.88</v>
      </c>
      <c r="M70" t="str">
        <f t="shared" si="7"/>
        <v> ***R</v>
      </c>
    </row>
    <row r="71" spans="1:13" ht="15">
      <c r="A71" t="s">
        <v>2814</v>
      </c>
      <c r="B71" t="s">
        <v>3528</v>
      </c>
      <c r="C71" t="s">
        <v>2768</v>
      </c>
      <c r="D71" t="s">
        <v>2769</v>
      </c>
      <c r="E71" t="s">
        <v>1600</v>
      </c>
      <c r="F71" t="s">
        <v>2770</v>
      </c>
      <c r="G71" t="s">
        <v>2771</v>
      </c>
      <c r="H71" t="s">
        <v>2772</v>
      </c>
      <c r="I71" t="str">
        <f t="shared" si="5"/>
        <v>96.16 mi</v>
      </c>
      <c r="J71">
        <f t="shared" si="8"/>
        <v>7</v>
      </c>
      <c r="K71" t="str">
        <f t="shared" si="6"/>
        <v>96.16 </v>
      </c>
      <c r="L71">
        <f t="shared" si="9"/>
        <v>133.20999999999998</v>
      </c>
      <c r="M71" t="str">
        <f t="shared" si="7"/>
        <v> TR + QL</v>
      </c>
    </row>
    <row r="72" spans="1:13" ht="15">
      <c r="A72" t="s">
        <v>2773</v>
      </c>
      <c r="B72" t="s">
        <v>1669</v>
      </c>
      <c r="C72" t="s">
        <v>2774</v>
      </c>
      <c r="D72" t="s">
        <v>1654</v>
      </c>
      <c r="E72" t="s">
        <v>2775</v>
      </c>
      <c r="F72" t="s">
        <v>3010</v>
      </c>
      <c r="G72" t="s">
        <v>2776</v>
      </c>
      <c r="H72" t="s">
        <v>2777</v>
      </c>
      <c r="I72" t="str">
        <f t="shared" si="5"/>
        <v>101.39 mi</v>
      </c>
      <c r="J72">
        <f t="shared" si="8"/>
        <v>8</v>
      </c>
      <c r="K72" t="str">
        <f t="shared" si="6"/>
        <v>101.39 </v>
      </c>
      <c r="L72">
        <f t="shared" si="9"/>
        <v>138.44</v>
      </c>
      <c r="M72" t="str">
        <f t="shared" si="7"/>
        <v> STOP</v>
      </c>
    </row>
    <row r="73" spans="1:13" ht="15">
      <c r="A73" t="s">
        <v>2778</v>
      </c>
      <c r="B73" t="s">
        <v>1616</v>
      </c>
      <c r="C73" t="s">
        <v>2779</v>
      </c>
      <c r="D73" t="s">
        <v>1602</v>
      </c>
      <c r="E73" t="s">
        <v>2780</v>
      </c>
      <c r="F73" t="s">
        <v>2781</v>
      </c>
      <c r="G73" t="s">
        <v>2782</v>
      </c>
      <c r="H73" t="s">
        <v>2783</v>
      </c>
      <c r="I73" t="str">
        <f t="shared" si="5"/>
        <v>101.43 mi</v>
      </c>
      <c r="J73">
        <f t="shared" si="8"/>
        <v>8</v>
      </c>
      <c r="K73" t="str">
        <f t="shared" si="6"/>
        <v>101.43 </v>
      </c>
      <c r="L73">
        <f t="shared" si="9"/>
        <v>138.48000000000002</v>
      </c>
      <c r="M73" t="str">
        <f t="shared" si="7"/>
        <v> Turn</v>
      </c>
    </row>
    <row r="74" spans="1:13" ht="15">
      <c r="A74" t="s">
        <v>2784</v>
      </c>
      <c r="B74" t="s">
        <v>1641</v>
      </c>
      <c r="C74" t="s">
        <v>2785</v>
      </c>
      <c r="D74" t="s">
        <v>2786</v>
      </c>
      <c r="E74" t="s">
        <v>2787</v>
      </c>
      <c r="F74" t="s">
        <v>2788</v>
      </c>
      <c r="G74" t="s">
        <v>3017</v>
      </c>
      <c r="H74" t="s">
        <v>2789</v>
      </c>
      <c r="I74" t="str">
        <f t="shared" si="5"/>
        <v>105.32 mi</v>
      </c>
      <c r="J74">
        <f t="shared" si="8"/>
        <v>8</v>
      </c>
      <c r="K74" t="str">
        <f t="shared" si="6"/>
        <v>105.32 </v>
      </c>
      <c r="L74">
        <f t="shared" si="9"/>
        <v>142.37</v>
      </c>
      <c r="M74" t="str">
        <f t="shared" si="7"/>
        <v> R</v>
      </c>
    </row>
    <row r="75" spans="1:13" ht="15">
      <c r="A75" t="s">
        <v>2790</v>
      </c>
      <c r="B75" t="s">
        <v>1644</v>
      </c>
      <c r="C75" t="s">
        <v>2791</v>
      </c>
      <c r="D75" t="s">
        <v>3572</v>
      </c>
      <c r="E75" t="s">
        <v>2792</v>
      </c>
      <c r="F75" t="s">
        <v>3018</v>
      </c>
      <c r="G75" t="s">
        <v>3019</v>
      </c>
      <c r="H75" t="s">
        <v>3020</v>
      </c>
      <c r="I75" t="str">
        <f t="shared" si="5"/>
        <v>109.42 mi</v>
      </c>
      <c r="J75">
        <f t="shared" si="8"/>
        <v>8</v>
      </c>
      <c r="K75" t="str">
        <f t="shared" si="6"/>
        <v>109.42 </v>
      </c>
      <c r="L75">
        <f t="shared" si="9"/>
        <v>146.47</v>
      </c>
      <c r="M75" t="str">
        <f t="shared" si="7"/>
        <v> L</v>
      </c>
    </row>
    <row r="76" spans="1:13" ht="15">
      <c r="A76" t="s">
        <v>2793</v>
      </c>
      <c r="B76" t="s">
        <v>1648</v>
      </c>
      <c r="C76" t="s">
        <v>2794</v>
      </c>
      <c r="D76" t="s">
        <v>2495</v>
      </c>
      <c r="E76" t="s">
        <v>2795</v>
      </c>
      <c r="F76" t="s">
        <v>3021</v>
      </c>
      <c r="G76" t="s">
        <v>3428</v>
      </c>
      <c r="H76" t="s">
        <v>3022</v>
      </c>
      <c r="I76" t="str">
        <f t="shared" si="5"/>
        <v>109.59 mi</v>
      </c>
      <c r="J76">
        <f t="shared" si="8"/>
        <v>8</v>
      </c>
      <c r="K76" t="str">
        <f t="shared" si="6"/>
        <v>109.59 </v>
      </c>
      <c r="L76">
        <f t="shared" si="9"/>
        <v>146.64</v>
      </c>
      <c r="M76" t="str">
        <f t="shared" si="7"/>
        <v> T R</v>
      </c>
    </row>
    <row r="77" spans="1:13" ht="15">
      <c r="A77" t="s">
        <v>2796</v>
      </c>
      <c r="B77" t="s">
        <v>1648</v>
      </c>
      <c r="C77" t="s">
        <v>2797</v>
      </c>
      <c r="D77" t="s">
        <v>3078</v>
      </c>
      <c r="E77" t="s">
        <v>2798</v>
      </c>
      <c r="F77" t="s">
        <v>3023</v>
      </c>
      <c r="G77" t="s">
        <v>3024</v>
      </c>
      <c r="H77" t="s">
        <v>3025</v>
      </c>
      <c r="I77" t="str">
        <f t="shared" si="5"/>
        <v>110.17 mi</v>
      </c>
      <c r="J77">
        <f t="shared" si="8"/>
        <v>8</v>
      </c>
      <c r="K77" t="str">
        <f t="shared" si="6"/>
        <v>110.17 </v>
      </c>
      <c r="L77">
        <f t="shared" si="9"/>
        <v>147.22</v>
      </c>
      <c r="M77" t="str">
        <f t="shared" si="7"/>
        <v> T R</v>
      </c>
    </row>
    <row r="78" spans="1:13" ht="15">
      <c r="A78" t="s">
        <v>2799</v>
      </c>
      <c r="B78" t="s">
        <v>1631</v>
      </c>
      <c r="C78" t="s">
        <v>2815</v>
      </c>
      <c r="D78" t="s">
        <v>3026</v>
      </c>
      <c r="E78" t="s">
        <v>2800</v>
      </c>
      <c r="F78" t="s">
        <v>3027</v>
      </c>
      <c r="G78" t="s">
        <v>3028</v>
      </c>
      <c r="H78" t="s">
        <v>3029</v>
      </c>
      <c r="I78" t="str">
        <f t="shared" si="5"/>
        <v>113.90 mi</v>
      </c>
      <c r="J78">
        <f t="shared" si="8"/>
        <v>8</v>
      </c>
      <c r="K78" t="str">
        <f t="shared" si="6"/>
        <v>113.90 </v>
      </c>
      <c r="L78">
        <f t="shared" si="9"/>
        <v>150.95</v>
      </c>
      <c r="M78" t="str">
        <f t="shared" si="7"/>
        <v> Straight</v>
      </c>
    </row>
    <row r="79" spans="1:13" ht="15">
      <c r="A79" t="s">
        <v>2816</v>
      </c>
      <c r="B79" t="s">
        <v>3030</v>
      </c>
      <c r="C79" t="s">
        <v>2801</v>
      </c>
      <c r="D79" t="s">
        <v>3031</v>
      </c>
      <c r="E79" t="s">
        <v>2802</v>
      </c>
      <c r="F79" t="s">
        <v>3032</v>
      </c>
      <c r="G79" t="s">
        <v>3033</v>
      </c>
      <c r="H79" t="s">
        <v>3427</v>
      </c>
      <c r="I79" t="str">
        <f t="shared" si="5"/>
        <v>122.01 mi</v>
      </c>
      <c r="J79">
        <f t="shared" si="8"/>
        <v>8</v>
      </c>
      <c r="K79" t="str">
        <f t="shared" si="6"/>
        <v>122.01 </v>
      </c>
      <c r="L79">
        <f t="shared" si="9"/>
        <v>159.06</v>
      </c>
      <c r="M79" t="str">
        <f t="shared" si="7"/>
        <v> ***Sharp L</v>
      </c>
    </row>
    <row r="80" spans="1:13" ht="15">
      <c r="A80" t="s">
        <v>2803</v>
      </c>
      <c r="B80" t="s">
        <v>1648</v>
      </c>
      <c r="C80" t="s">
        <v>2804</v>
      </c>
      <c r="D80" t="s">
        <v>3034</v>
      </c>
      <c r="E80" t="s">
        <v>545</v>
      </c>
      <c r="F80" t="s">
        <v>3035</v>
      </c>
      <c r="G80" t="s">
        <v>3426</v>
      </c>
      <c r="H80" t="s">
        <v>3036</v>
      </c>
      <c r="I80" t="str">
        <f t="shared" si="5"/>
        <v>125.24 mi</v>
      </c>
      <c r="J80">
        <f t="shared" si="8"/>
        <v>8</v>
      </c>
      <c r="K80" t="str">
        <f t="shared" si="6"/>
        <v>125.24 </v>
      </c>
      <c r="L80">
        <f t="shared" si="9"/>
        <v>162.29</v>
      </c>
      <c r="M80" t="str">
        <f t="shared" si="7"/>
        <v> T R</v>
      </c>
    </row>
    <row r="81" spans="1:13" ht="15">
      <c r="A81" t="s">
        <v>546</v>
      </c>
      <c r="B81" t="s">
        <v>1645</v>
      </c>
      <c r="C81" t="s">
        <v>547</v>
      </c>
      <c r="D81" t="s">
        <v>3037</v>
      </c>
      <c r="E81" t="s">
        <v>548</v>
      </c>
      <c r="F81" t="s">
        <v>3038</v>
      </c>
      <c r="G81" t="s">
        <v>3039</v>
      </c>
      <c r="H81" t="s">
        <v>2493</v>
      </c>
      <c r="I81" t="str">
        <f t="shared" si="5"/>
        <v>126.72 mi</v>
      </c>
      <c r="J81">
        <f t="shared" si="8"/>
        <v>8</v>
      </c>
      <c r="K81" t="str">
        <f t="shared" si="6"/>
        <v>126.72 </v>
      </c>
      <c r="L81">
        <f t="shared" si="9"/>
        <v>163.76999999999998</v>
      </c>
      <c r="M81" t="str">
        <f t="shared" si="7"/>
        <v> B R</v>
      </c>
    </row>
    <row r="82" spans="1:13" ht="15">
      <c r="A82" t="s">
        <v>549</v>
      </c>
      <c r="B82" t="s">
        <v>1644</v>
      </c>
      <c r="C82" t="s">
        <v>550</v>
      </c>
      <c r="D82" t="s">
        <v>253</v>
      </c>
      <c r="E82" t="s">
        <v>551</v>
      </c>
      <c r="F82" t="s">
        <v>3040</v>
      </c>
      <c r="G82" t="s">
        <v>3041</v>
      </c>
      <c r="H82" t="s">
        <v>3042</v>
      </c>
      <c r="I82" t="str">
        <f t="shared" si="5"/>
        <v>128.07 mi</v>
      </c>
      <c r="J82">
        <f t="shared" si="8"/>
        <v>8</v>
      </c>
      <c r="K82" t="str">
        <f t="shared" si="6"/>
        <v>128.07 </v>
      </c>
      <c r="L82">
        <f t="shared" si="9"/>
        <v>165.12</v>
      </c>
      <c r="M82" t="str">
        <f t="shared" si="7"/>
        <v> L</v>
      </c>
    </row>
    <row r="83" spans="1:13" ht="15">
      <c r="A83" t="s">
        <v>552</v>
      </c>
      <c r="B83" t="s">
        <v>1641</v>
      </c>
      <c r="C83" t="s">
        <v>2817</v>
      </c>
      <c r="D83" t="s">
        <v>553</v>
      </c>
      <c r="E83" t="s">
        <v>554</v>
      </c>
      <c r="F83" t="s">
        <v>555</v>
      </c>
      <c r="G83" t="s">
        <v>3043</v>
      </c>
      <c r="H83" t="s">
        <v>3044</v>
      </c>
      <c r="I83" t="str">
        <f t="shared" si="5"/>
        <v>128.94 mi</v>
      </c>
      <c r="J83">
        <f t="shared" si="8"/>
        <v>8</v>
      </c>
      <c r="K83" t="str">
        <f t="shared" si="6"/>
        <v>128.94 </v>
      </c>
      <c r="L83">
        <f t="shared" si="9"/>
        <v>165.99</v>
      </c>
      <c r="M83" t="str">
        <f t="shared" si="7"/>
        <v> R</v>
      </c>
    </row>
    <row r="84" spans="1:13" ht="15">
      <c r="A84" t="s">
        <v>2818</v>
      </c>
      <c r="B84" t="s">
        <v>1644</v>
      </c>
      <c r="C84" t="s">
        <v>556</v>
      </c>
      <c r="D84" t="s">
        <v>557</v>
      </c>
      <c r="E84" t="s">
        <v>558</v>
      </c>
      <c r="F84" t="s">
        <v>559</v>
      </c>
      <c r="G84" t="s">
        <v>560</v>
      </c>
      <c r="H84" t="s">
        <v>3045</v>
      </c>
      <c r="I84" t="str">
        <f t="shared" si="5"/>
        <v>133.64 mi</v>
      </c>
      <c r="J84">
        <f t="shared" si="8"/>
        <v>8</v>
      </c>
      <c r="K84" t="str">
        <f t="shared" si="6"/>
        <v>133.64 </v>
      </c>
      <c r="L84">
        <f t="shared" si="9"/>
        <v>170.69</v>
      </c>
      <c r="M84" t="str">
        <f t="shared" si="7"/>
        <v> L</v>
      </c>
    </row>
    <row r="85" spans="1:13" ht="15">
      <c r="A85" t="s">
        <v>662</v>
      </c>
      <c r="B85" t="s">
        <v>1644</v>
      </c>
      <c r="C85" t="s">
        <v>663</v>
      </c>
      <c r="D85" t="s">
        <v>1269</v>
      </c>
      <c r="E85" t="s">
        <v>664</v>
      </c>
      <c r="F85" t="s">
        <v>665</v>
      </c>
      <c r="G85" t="s">
        <v>666</v>
      </c>
      <c r="H85" t="s">
        <v>667</v>
      </c>
      <c r="I85" t="str">
        <f t="shared" si="5"/>
        <v>134.68 mi</v>
      </c>
      <c r="J85">
        <f t="shared" si="8"/>
        <v>8</v>
      </c>
      <c r="K85" t="str">
        <f t="shared" si="6"/>
        <v>134.68 </v>
      </c>
      <c r="L85">
        <f t="shared" si="9"/>
        <v>171.73000000000002</v>
      </c>
      <c r="M85" t="str">
        <f t="shared" si="7"/>
        <v> L</v>
      </c>
    </row>
    <row r="86" spans="1:13" ht="15">
      <c r="A86" t="s">
        <v>668</v>
      </c>
      <c r="B86" t="s">
        <v>3144</v>
      </c>
      <c r="C86" t="s">
        <v>669</v>
      </c>
      <c r="D86" t="s">
        <v>670</v>
      </c>
      <c r="E86" t="s">
        <v>671</v>
      </c>
      <c r="F86" t="s">
        <v>672</v>
      </c>
      <c r="G86" t="s">
        <v>673</v>
      </c>
      <c r="H86" t="s">
        <v>674</v>
      </c>
      <c r="I86" t="str">
        <f aca="true" t="shared" si="10" ref="I86:I106">TRIM(E86)</f>
        <v>135.30 mi</v>
      </c>
      <c r="J86">
        <f t="shared" si="8"/>
        <v>8</v>
      </c>
      <c r="K86" t="str">
        <f aca="true" t="shared" si="11" ref="K86:K106">LEFT(I86,J86-1)</f>
        <v>135.30 </v>
      </c>
      <c r="L86">
        <f t="shared" si="9"/>
        <v>172.35000000000002</v>
      </c>
      <c r="M86" t="str">
        <f aca="true" t="shared" si="12" ref="M86:M106">IF(B86&lt;&gt;" ???",B86,$M$1)</f>
        <v> ***R</v>
      </c>
    </row>
    <row r="87" spans="1:13" ht="15">
      <c r="A87" t="s">
        <v>675</v>
      </c>
      <c r="B87" t="s">
        <v>1650</v>
      </c>
      <c r="C87" t="s">
        <v>676</v>
      </c>
      <c r="D87" t="s">
        <v>677</v>
      </c>
      <c r="E87" t="s">
        <v>678</v>
      </c>
      <c r="F87" t="s">
        <v>679</v>
      </c>
      <c r="G87" t="s">
        <v>680</v>
      </c>
      <c r="H87" t="s">
        <v>681</v>
      </c>
      <c r="I87" t="str">
        <f t="shared" si="10"/>
        <v>138.88 mi</v>
      </c>
      <c r="J87">
        <f t="shared" si="8"/>
        <v>8</v>
      </c>
      <c r="K87" t="str">
        <f t="shared" si="11"/>
        <v>138.88 </v>
      </c>
      <c r="L87">
        <f t="shared" si="9"/>
        <v>175.93</v>
      </c>
      <c r="M87" t="str">
        <f t="shared" si="12"/>
        <v> Pass</v>
      </c>
    </row>
    <row r="88" spans="1:13" ht="15">
      <c r="A88" t="s">
        <v>682</v>
      </c>
      <c r="B88" t="s">
        <v>1648</v>
      </c>
      <c r="C88" t="s">
        <v>683</v>
      </c>
      <c r="D88" t="s">
        <v>2481</v>
      </c>
      <c r="E88" t="s">
        <v>684</v>
      </c>
      <c r="F88" t="s">
        <v>685</v>
      </c>
      <c r="G88" t="s">
        <v>686</v>
      </c>
      <c r="H88" t="s">
        <v>258</v>
      </c>
      <c r="I88" t="str">
        <f t="shared" si="10"/>
        <v>141.96 mi</v>
      </c>
      <c r="J88">
        <f t="shared" si="8"/>
        <v>8</v>
      </c>
      <c r="K88" t="str">
        <f t="shared" si="11"/>
        <v>141.96 </v>
      </c>
      <c r="L88">
        <f t="shared" si="9"/>
        <v>179.01</v>
      </c>
      <c r="M88" t="str">
        <f t="shared" si="12"/>
        <v> T R</v>
      </c>
    </row>
    <row r="89" spans="1:13" ht="15">
      <c r="A89" t="s">
        <v>687</v>
      </c>
      <c r="B89" t="s">
        <v>1648</v>
      </c>
      <c r="C89" t="s">
        <v>688</v>
      </c>
      <c r="D89" t="s">
        <v>689</v>
      </c>
      <c r="E89" t="s">
        <v>690</v>
      </c>
      <c r="F89" t="s">
        <v>691</v>
      </c>
      <c r="G89" t="s">
        <v>692</v>
      </c>
      <c r="H89" t="s">
        <v>693</v>
      </c>
      <c r="I89" t="str">
        <f t="shared" si="10"/>
        <v>142.31 mi</v>
      </c>
      <c r="J89">
        <f t="shared" si="8"/>
        <v>8</v>
      </c>
      <c r="K89" t="str">
        <f t="shared" si="11"/>
        <v>142.31 </v>
      </c>
      <c r="L89">
        <f t="shared" si="9"/>
        <v>179.36</v>
      </c>
      <c r="M89" t="str">
        <f t="shared" si="12"/>
        <v> T R</v>
      </c>
    </row>
    <row r="90" spans="1:13" ht="15">
      <c r="A90" t="s">
        <v>99</v>
      </c>
      <c r="B90" t="s">
        <v>1644</v>
      </c>
      <c r="C90" t="s">
        <v>2819</v>
      </c>
      <c r="D90" t="s">
        <v>1610</v>
      </c>
      <c r="E90" t="s">
        <v>100</v>
      </c>
      <c r="F90" t="s">
        <v>3046</v>
      </c>
      <c r="G90" t="s">
        <v>3047</v>
      </c>
      <c r="H90" t="s">
        <v>3048</v>
      </c>
      <c r="I90" t="str">
        <f t="shared" si="10"/>
        <v>144.12 mi</v>
      </c>
      <c r="J90">
        <f t="shared" si="8"/>
        <v>8</v>
      </c>
      <c r="K90" t="str">
        <f t="shared" si="11"/>
        <v>144.12 </v>
      </c>
      <c r="L90">
        <f t="shared" si="9"/>
        <v>181.17000000000002</v>
      </c>
      <c r="M90" t="str">
        <f t="shared" si="12"/>
        <v> L</v>
      </c>
    </row>
    <row r="91" spans="1:13" ht="15">
      <c r="A91" t="s">
        <v>2820</v>
      </c>
      <c r="B91" t="s">
        <v>1651</v>
      </c>
      <c r="C91" t="s">
        <v>2821</v>
      </c>
      <c r="D91" t="s">
        <v>3430</v>
      </c>
      <c r="E91" t="s">
        <v>561</v>
      </c>
      <c r="F91" t="s">
        <v>3049</v>
      </c>
      <c r="G91" t="s">
        <v>3050</v>
      </c>
      <c r="H91" t="s">
        <v>3051</v>
      </c>
      <c r="I91" t="str">
        <f t="shared" si="10"/>
        <v>144.48 mi</v>
      </c>
      <c r="J91">
        <f t="shared" si="8"/>
        <v>8</v>
      </c>
      <c r="K91" t="str">
        <f t="shared" si="11"/>
        <v>144.48 </v>
      </c>
      <c r="L91">
        <f t="shared" si="9"/>
        <v>181.52999999999997</v>
      </c>
      <c r="M91" t="str">
        <f t="shared" si="12"/>
        <v> 1st R</v>
      </c>
    </row>
    <row r="92" spans="1:13" ht="15">
      <c r="A92" t="s">
        <v>2822</v>
      </c>
      <c r="B92" t="s">
        <v>1621</v>
      </c>
      <c r="C92" t="s">
        <v>562</v>
      </c>
      <c r="D92" t="s">
        <v>2247</v>
      </c>
      <c r="E92" t="s">
        <v>563</v>
      </c>
      <c r="F92" t="s">
        <v>2540</v>
      </c>
      <c r="G92" t="s">
        <v>2541</v>
      </c>
      <c r="H92" t="s">
        <v>2542</v>
      </c>
      <c r="I92" t="str">
        <f t="shared" si="10"/>
        <v>146.11 mi</v>
      </c>
      <c r="J92">
        <f t="shared" si="8"/>
        <v>8</v>
      </c>
      <c r="K92" t="str">
        <f t="shared" si="11"/>
        <v>146.11 </v>
      </c>
      <c r="L92">
        <f t="shared" si="9"/>
        <v>183.16000000000003</v>
      </c>
      <c r="M92" t="str">
        <f t="shared" si="12"/>
        <v> B L</v>
      </c>
    </row>
    <row r="93" spans="1:13" ht="15">
      <c r="A93" t="s">
        <v>564</v>
      </c>
      <c r="B93" t="s">
        <v>1650</v>
      </c>
      <c r="C93" t="s">
        <v>1273</v>
      </c>
      <c r="D93" t="s">
        <v>2543</v>
      </c>
      <c r="E93" t="s">
        <v>565</v>
      </c>
      <c r="F93" t="s">
        <v>2544</v>
      </c>
      <c r="G93" t="s">
        <v>2545</v>
      </c>
      <c r="H93" t="s">
        <v>2546</v>
      </c>
      <c r="I93" t="str">
        <f t="shared" si="10"/>
        <v>148.74 mi</v>
      </c>
      <c r="J93">
        <f t="shared" si="8"/>
        <v>8</v>
      </c>
      <c r="K93" t="str">
        <f t="shared" si="11"/>
        <v>148.74 </v>
      </c>
      <c r="L93">
        <f t="shared" si="9"/>
        <v>185.79000000000002</v>
      </c>
      <c r="M93" t="str">
        <f t="shared" si="12"/>
        <v> Pass</v>
      </c>
    </row>
    <row r="94" spans="1:13" ht="15">
      <c r="A94" t="s">
        <v>2049</v>
      </c>
      <c r="B94" t="s">
        <v>1650</v>
      </c>
      <c r="C94" t="s">
        <v>2547</v>
      </c>
      <c r="D94" t="s">
        <v>2548</v>
      </c>
      <c r="E94" t="s">
        <v>566</v>
      </c>
      <c r="F94" t="s">
        <v>2549</v>
      </c>
      <c r="G94" t="s">
        <v>2550</v>
      </c>
      <c r="H94" t="s">
        <v>2551</v>
      </c>
      <c r="I94" t="str">
        <f t="shared" si="10"/>
        <v>150.92 mi</v>
      </c>
      <c r="J94">
        <f t="shared" si="8"/>
        <v>8</v>
      </c>
      <c r="K94" t="str">
        <f t="shared" si="11"/>
        <v>150.92 </v>
      </c>
      <c r="L94">
        <f t="shared" si="9"/>
        <v>187.96999999999997</v>
      </c>
      <c r="M94" t="str">
        <f t="shared" si="12"/>
        <v> Pass</v>
      </c>
    </row>
    <row r="95" spans="1:13" ht="15">
      <c r="A95" t="s">
        <v>2552</v>
      </c>
      <c r="B95" t="s">
        <v>1644</v>
      </c>
      <c r="C95" t="s">
        <v>2553</v>
      </c>
      <c r="D95" t="s">
        <v>1610</v>
      </c>
      <c r="E95" t="s">
        <v>567</v>
      </c>
      <c r="F95" t="s">
        <v>2554</v>
      </c>
      <c r="G95" t="s">
        <v>2555</v>
      </c>
      <c r="H95" t="s">
        <v>2556</v>
      </c>
      <c r="I95" t="str">
        <f t="shared" si="10"/>
        <v>151.71 mi</v>
      </c>
      <c r="J95">
        <f t="shared" si="8"/>
        <v>8</v>
      </c>
      <c r="K95" t="str">
        <f t="shared" si="11"/>
        <v>151.71 </v>
      </c>
      <c r="L95">
        <f t="shared" si="9"/>
        <v>188.76</v>
      </c>
      <c r="M95" t="str">
        <f t="shared" si="12"/>
        <v> L</v>
      </c>
    </row>
    <row r="96" spans="1:13" ht="15">
      <c r="A96" t="s">
        <v>2557</v>
      </c>
      <c r="B96" t="s">
        <v>1669</v>
      </c>
      <c r="C96" t="s">
        <v>2823</v>
      </c>
      <c r="D96" t="s">
        <v>1622</v>
      </c>
      <c r="E96" t="s">
        <v>568</v>
      </c>
      <c r="F96" t="s">
        <v>2558</v>
      </c>
      <c r="G96" t="s">
        <v>2559</v>
      </c>
      <c r="H96" t="s">
        <v>2560</v>
      </c>
      <c r="I96" t="str">
        <f t="shared" si="10"/>
        <v>152.08 mi</v>
      </c>
      <c r="J96">
        <f t="shared" si="8"/>
        <v>8</v>
      </c>
      <c r="K96" t="str">
        <f t="shared" si="11"/>
        <v>152.08 </v>
      </c>
      <c r="L96">
        <f t="shared" si="9"/>
        <v>189.13</v>
      </c>
      <c r="M96" t="str">
        <f t="shared" si="12"/>
        <v> STOP</v>
      </c>
    </row>
    <row r="97" spans="1:13" ht="15">
      <c r="A97" t="s">
        <v>2824</v>
      </c>
      <c r="B97" t="s">
        <v>1623</v>
      </c>
      <c r="C97" t="s">
        <v>569</v>
      </c>
      <c r="D97" t="s">
        <v>1654</v>
      </c>
      <c r="E97" t="s">
        <v>570</v>
      </c>
      <c r="F97" t="s">
        <v>3570</v>
      </c>
      <c r="G97" t="s">
        <v>2561</v>
      </c>
      <c r="H97" t="s">
        <v>2562</v>
      </c>
      <c r="I97" t="str">
        <f t="shared" si="10"/>
        <v>152.10 mi</v>
      </c>
      <c r="J97">
        <f t="shared" si="8"/>
        <v>8</v>
      </c>
      <c r="K97" t="str">
        <f t="shared" si="11"/>
        <v>152.10 </v>
      </c>
      <c r="L97">
        <f t="shared" si="9"/>
        <v>189.14999999999998</v>
      </c>
      <c r="M97" t="str">
        <f t="shared" si="12"/>
        <v> Continue</v>
      </c>
    </row>
    <row r="98" spans="1:13" ht="15">
      <c r="A98" t="s">
        <v>571</v>
      </c>
      <c r="B98" t="s">
        <v>1651</v>
      </c>
      <c r="C98" t="s">
        <v>572</v>
      </c>
      <c r="D98" t="s">
        <v>1240</v>
      </c>
      <c r="E98" t="s">
        <v>573</v>
      </c>
      <c r="F98" t="s">
        <v>2563</v>
      </c>
      <c r="G98" t="s">
        <v>2561</v>
      </c>
      <c r="H98" t="s">
        <v>2564</v>
      </c>
      <c r="I98" t="str">
        <f t="shared" si="10"/>
        <v>152.14 mi</v>
      </c>
      <c r="J98">
        <f t="shared" si="8"/>
        <v>8</v>
      </c>
      <c r="K98" t="str">
        <f t="shared" si="11"/>
        <v>152.14 </v>
      </c>
      <c r="L98">
        <f t="shared" si="9"/>
        <v>189.19</v>
      </c>
      <c r="M98" t="str">
        <f t="shared" si="12"/>
        <v> 1st R</v>
      </c>
    </row>
    <row r="99" spans="1:13" ht="15">
      <c r="A99" t="s">
        <v>574</v>
      </c>
      <c r="B99" t="s">
        <v>1631</v>
      </c>
      <c r="C99" t="s">
        <v>2565</v>
      </c>
      <c r="D99" t="s">
        <v>1267</v>
      </c>
      <c r="E99" t="s">
        <v>575</v>
      </c>
      <c r="F99" t="s">
        <v>2566</v>
      </c>
      <c r="G99" t="s">
        <v>3052</v>
      </c>
      <c r="H99" t="s">
        <v>3053</v>
      </c>
      <c r="I99" t="str">
        <f t="shared" si="10"/>
        <v>152.39 mi</v>
      </c>
      <c r="J99">
        <f t="shared" si="8"/>
        <v>8</v>
      </c>
      <c r="K99" t="str">
        <f t="shared" si="11"/>
        <v>152.39 </v>
      </c>
      <c r="L99">
        <f t="shared" si="9"/>
        <v>189.44</v>
      </c>
      <c r="M99" t="str">
        <f t="shared" si="12"/>
        <v> Straight</v>
      </c>
    </row>
    <row r="100" spans="1:13" ht="15">
      <c r="A100" t="s">
        <v>3054</v>
      </c>
      <c r="B100" t="s">
        <v>1641</v>
      </c>
      <c r="C100" t="s">
        <v>3055</v>
      </c>
      <c r="D100" t="s">
        <v>3056</v>
      </c>
      <c r="E100" t="s">
        <v>576</v>
      </c>
      <c r="F100" t="s">
        <v>3057</v>
      </c>
      <c r="G100" t="s">
        <v>3058</v>
      </c>
      <c r="H100" t="s">
        <v>2562</v>
      </c>
      <c r="I100" t="str">
        <f t="shared" si="10"/>
        <v>152.64 mi</v>
      </c>
      <c r="J100">
        <f t="shared" si="8"/>
        <v>8</v>
      </c>
      <c r="K100" t="str">
        <f t="shared" si="11"/>
        <v>152.64 </v>
      </c>
      <c r="L100">
        <f t="shared" si="9"/>
        <v>189.69</v>
      </c>
      <c r="M100" t="str">
        <f t="shared" si="12"/>
        <v> R</v>
      </c>
    </row>
    <row r="101" spans="1:13" ht="15">
      <c r="A101" t="s">
        <v>3059</v>
      </c>
      <c r="B101" t="s">
        <v>1621</v>
      </c>
      <c r="C101" t="s">
        <v>3060</v>
      </c>
      <c r="D101" t="s">
        <v>3573</v>
      </c>
      <c r="E101" t="s">
        <v>577</v>
      </c>
      <c r="F101" t="s">
        <v>3061</v>
      </c>
      <c r="G101" t="s">
        <v>3062</v>
      </c>
      <c r="H101" t="s">
        <v>3063</v>
      </c>
      <c r="I101" t="str">
        <f t="shared" si="10"/>
        <v>155.54 mi</v>
      </c>
      <c r="J101">
        <f t="shared" si="8"/>
        <v>8</v>
      </c>
      <c r="K101" t="str">
        <f t="shared" si="11"/>
        <v>155.54 </v>
      </c>
      <c r="L101">
        <f t="shared" si="9"/>
        <v>192.58999999999997</v>
      </c>
      <c r="M101" t="str">
        <f t="shared" si="12"/>
        <v> B L</v>
      </c>
    </row>
    <row r="102" spans="1:13" ht="15">
      <c r="A102" t="s">
        <v>3064</v>
      </c>
      <c r="B102" t="s">
        <v>1631</v>
      </c>
      <c r="C102" t="s">
        <v>2825</v>
      </c>
      <c r="D102" t="s">
        <v>3065</v>
      </c>
      <c r="E102" t="s">
        <v>578</v>
      </c>
      <c r="F102" t="s">
        <v>3066</v>
      </c>
      <c r="G102" t="s">
        <v>3067</v>
      </c>
      <c r="H102" t="s">
        <v>3068</v>
      </c>
      <c r="I102" t="str">
        <f t="shared" si="10"/>
        <v>157.47 mi</v>
      </c>
      <c r="J102">
        <f t="shared" si="8"/>
        <v>8</v>
      </c>
      <c r="K102" t="str">
        <f t="shared" si="11"/>
        <v>157.47 </v>
      </c>
      <c r="L102">
        <f t="shared" si="9"/>
        <v>194.51999999999998</v>
      </c>
      <c r="M102" t="str">
        <f t="shared" si="12"/>
        <v> Straight</v>
      </c>
    </row>
    <row r="103" spans="1:13" ht="15">
      <c r="A103" t="s">
        <v>2826</v>
      </c>
      <c r="B103" t="s">
        <v>1631</v>
      </c>
      <c r="C103" t="s">
        <v>2827</v>
      </c>
      <c r="D103" t="s">
        <v>3069</v>
      </c>
      <c r="E103" t="s">
        <v>3387</v>
      </c>
      <c r="F103" t="s">
        <v>3070</v>
      </c>
      <c r="G103" t="s">
        <v>3071</v>
      </c>
      <c r="H103" t="s">
        <v>3072</v>
      </c>
      <c r="I103" t="str">
        <f t="shared" si="10"/>
        <v>158.86 mi</v>
      </c>
      <c r="J103">
        <f t="shared" si="8"/>
        <v>8</v>
      </c>
      <c r="K103" t="str">
        <f t="shared" si="11"/>
        <v>158.86 </v>
      </c>
      <c r="L103">
        <f t="shared" si="9"/>
        <v>195.91000000000003</v>
      </c>
      <c r="M103" t="str">
        <f t="shared" si="12"/>
        <v> Straight</v>
      </c>
    </row>
    <row r="104" spans="1:13" ht="15">
      <c r="A104" t="s">
        <v>2828</v>
      </c>
      <c r="B104" t="s">
        <v>1646</v>
      </c>
      <c r="C104" t="s">
        <v>2829</v>
      </c>
      <c r="D104" t="s">
        <v>3073</v>
      </c>
      <c r="E104" t="s">
        <v>3388</v>
      </c>
      <c r="F104" t="s">
        <v>3074</v>
      </c>
      <c r="G104" t="s">
        <v>3075</v>
      </c>
      <c r="H104" t="s">
        <v>3076</v>
      </c>
      <c r="I104" t="str">
        <f t="shared" si="10"/>
        <v>160.65 mi</v>
      </c>
      <c r="J104">
        <f t="shared" si="8"/>
        <v>8</v>
      </c>
      <c r="K104" t="str">
        <f t="shared" si="11"/>
        <v>160.65 </v>
      </c>
      <c r="L104">
        <f t="shared" si="9"/>
        <v>197.7</v>
      </c>
      <c r="M104" t="str">
        <f t="shared" si="12"/>
        <v> X</v>
      </c>
    </row>
    <row r="105" spans="1:13" ht="15">
      <c r="A105" t="s">
        <v>2830</v>
      </c>
      <c r="B105" t="s">
        <v>1648</v>
      </c>
      <c r="C105" t="s">
        <v>3077</v>
      </c>
      <c r="D105" t="s">
        <v>3078</v>
      </c>
      <c r="E105" t="s">
        <v>3389</v>
      </c>
      <c r="F105" t="s">
        <v>3079</v>
      </c>
      <c r="G105" t="s">
        <v>2050</v>
      </c>
      <c r="H105" t="s">
        <v>2051</v>
      </c>
      <c r="I105" t="str">
        <f t="shared" si="10"/>
        <v>163.13 mi</v>
      </c>
      <c r="J105">
        <f t="shared" si="8"/>
        <v>8</v>
      </c>
      <c r="K105" t="str">
        <f t="shared" si="11"/>
        <v>163.13 </v>
      </c>
      <c r="L105">
        <f t="shared" si="9"/>
        <v>200.18</v>
      </c>
      <c r="M105" t="str">
        <f t="shared" si="12"/>
        <v> T R</v>
      </c>
    </row>
    <row r="106" spans="1:13" ht="15">
      <c r="A106" t="s">
        <v>2052</v>
      </c>
      <c r="B106" t="s">
        <v>1646</v>
      </c>
      <c r="C106" t="s">
        <v>3390</v>
      </c>
      <c r="D106" t="s">
        <v>1604</v>
      </c>
      <c r="E106" t="s">
        <v>3391</v>
      </c>
      <c r="F106" t="s">
        <v>2053</v>
      </c>
      <c r="G106" t="s">
        <v>2054</v>
      </c>
      <c r="H106" t="s">
        <v>2055</v>
      </c>
      <c r="I106" t="str">
        <f t="shared" si="10"/>
        <v>166.86 mi</v>
      </c>
      <c r="J106">
        <f t="shared" si="8"/>
        <v>8</v>
      </c>
      <c r="K106" t="str">
        <f t="shared" si="11"/>
        <v>166.86 </v>
      </c>
      <c r="L106">
        <f t="shared" si="9"/>
        <v>203.91000000000003</v>
      </c>
      <c r="M106" t="str">
        <f t="shared" si="12"/>
        <v> X</v>
      </c>
    </row>
    <row r="107" spans="1:13" ht="15">
      <c r="A107" t="s">
        <v>3392</v>
      </c>
      <c r="B107" t="s">
        <v>1641</v>
      </c>
      <c r="C107" t="s">
        <v>3393</v>
      </c>
      <c r="D107" t="s">
        <v>1654</v>
      </c>
      <c r="E107" t="s">
        <v>3394</v>
      </c>
      <c r="F107" t="s">
        <v>2056</v>
      </c>
      <c r="G107" t="s">
        <v>2057</v>
      </c>
      <c r="H107" t="s">
        <v>2058</v>
      </c>
      <c r="I107" t="str">
        <f>TRIM(E107)</f>
        <v>167.05 mi</v>
      </c>
      <c r="J107">
        <f t="shared" si="8"/>
        <v>8</v>
      </c>
      <c r="K107" t="str">
        <f>LEFT(I107,J107-1)</f>
        <v>167.05 </v>
      </c>
      <c r="L107">
        <f t="shared" si="9"/>
        <v>204.10000000000002</v>
      </c>
      <c r="M107" t="str">
        <f>IF(B107&lt;&gt;" ???",B107,$M$1)</f>
        <v> R</v>
      </c>
    </row>
    <row r="108" spans="1:13" ht="15">
      <c r="A108" t="s">
        <v>3395</v>
      </c>
      <c r="B108" t="s">
        <v>2059</v>
      </c>
      <c r="C108" t="s">
        <v>2060</v>
      </c>
      <c r="D108" t="s">
        <v>2061</v>
      </c>
      <c r="E108" t="s">
        <v>3396</v>
      </c>
      <c r="F108" t="s">
        <v>2062</v>
      </c>
      <c r="G108" t="s">
        <v>2063</v>
      </c>
      <c r="H108" t="s">
        <v>2064</v>
      </c>
      <c r="I108" t="str">
        <f>TRIM(E108)</f>
        <v>167.09 mi</v>
      </c>
      <c r="J108">
        <f t="shared" si="8"/>
        <v>8</v>
      </c>
      <c r="K108" t="str">
        <f>LEFT(I108,J108-1)</f>
        <v>167.09 </v>
      </c>
      <c r="L108">
        <f t="shared" si="9"/>
        <v>204.14</v>
      </c>
      <c r="M108" t="str">
        <f>IF(B108&lt;&gt;" ???",B108,$M$1)</f>
        <v> ***Q L</v>
      </c>
    </row>
    <row r="109" spans="1:13" ht="15">
      <c r="A109" t="s">
        <v>2065</v>
      </c>
      <c r="B109" t="s">
        <v>1645</v>
      </c>
      <c r="C109" t="s">
        <v>2066</v>
      </c>
      <c r="D109" t="s">
        <v>1240</v>
      </c>
      <c r="E109" t="s">
        <v>3397</v>
      </c>
      <c r="F109" t="s">
        <v>2067</v>
      </c>
      <c r="G109" t="s">
        <v>2068</v>
      </c>
      <c r="H109" t="s">
        <v>2069</v>
      </c>
      <c r="I109" t="str">
        <f aca="true" t="shared" si="13" ref="I109:I117">TRIM(E109)</f>
        <v>172.19 mi</v>
      </c>
      <c r="J109">
        <f t="shared" si="8"/>
        <v>8</v>
      </c>
      <c r="K109" t="str">
        <f aca="true" t="shared" si="14" ref="K109:K117">LEFT(I109,J109-1)</f>
        <v>172.19 </v>
      </c>
      <c r="L109">
        <f t="shared" si="9"/>
        <v>209.24</v>
      </c>
      <c r="M109" t="str">
        <f aca="true" t="shared" si="15" ref="M109:M117">IF(B109&lt;&gt;" ???",B109,$M$1)</f>
        <v> B R</v>
      </c>
    </row>
    <row r="110" spans="1:13" ht="15">
      <c r="A110" t="s">
        <v>2070</v>
      </c>
      <c r="B110" t="s">
        <v>1631</v>
      </c>
      <c r="C110" t="s">
        <v>3398</v>
      </c>
      <c r="D110" t="s">
        <v>2071</v>
      </c>
      <c r="E110" t="s">
        <v>3399</v>
      </c>
      <c r="F110" t="s">
        <v>2072</v>
      </c>
      <c r="G110" t="s">
        <v>2073</v>
      </c>
      <c r="H110" t="s">
        <v>2074</v>
      </c>
      <c r="I110" t="str">
        <f t="shared" si="13"/>
        <v>172.44 mi</v>
      </c>
      <c r="J110">
        <f t="shared" si="8"/>
        <v>8</v>
      </c>
      <c r="K110" t="str">
        <f t="shared" si="14"/>
        <v>172.44 </v>
      </c>
      <c r="L110">
        <f t="shared" si="9"/>
        <v>209.49</v>
      </c>
      <c r="M110" t="str">
        <f t="shared" si="15"/>
        <v> Straight</v>
      </c>
    </row>
    <row r="111" spans="1:13" ht="15">
      <c r="A111" t="s">
        <v>3400</v>
      </c>
      <c r="B111" t="s">
        <v>1631</v>
      </c>
      <c r="C111" t="s">
        <v>3401</v>
      </c>
      <c r="D111" t="s">
        <v>2075</v>
      </c>
      <c r="E111" t="s">
        <v>3402</v>
      </c>
      <c r="F111" t="s">
        <v>2076</v>
      </c>
      <c r="G111" t="s">
        <v>2077</v>
      </c>
      <c r="H111" t="s">
        <v>2078</v>
      </c>
      <c r="I111" t="str">
        <f t="shared" si="13"/>
        <v>176.87 mi</v>
      </c>
      <c r="J111">
        <f t="shared" si="8"/>
        <v>8</v>
      </c>
      <c r="K111" t="str">
        <f t="shared" si="14"/>
        <v>176.87 </v>
      </c>
      <c r="L111">
        <f t="shared" si="9"/>
        <v>213.92000000000002</v>
      </c>
      <c r="M111" t="str">
        <f t="shared" si="15"/>
        <v> Straight</v>
      </c>
    </row>
    <row r="112" spans="1:13" ht="15">
      <c r="A112" t="s">
        <v>3403</v>
      </c>
      <c r="B112" t="s">
        <v>1648</v>
      </c>
      <c r="C112" t="s">
        <v>3404</v>
      </c>
      <c r="D112" t="s">
        <v>2079</v>
      </c>
      <c r="E112" t="s">
        <v>3405</v>
      </c>
      <c r="F112" t="s">
        <v>2080</v>
      </c>
      <c r="G112" t="s">
        <v>2081</v>
      </c>
      <c r="H112" t="s">
        <v>2082</v>
      </c>
      <c r="I112" t="str">
        <f t="shared" si="13"/>
        <v>179.11 mi</v>
      </c>
      <c r="J112">
        <f t="shared" si="8"/>
        <v>8</v>
      </c>
      <c r="K112" t="str">
        <f t="shared" si="14"/>
        <v>179.11 </v>
      </c>
      <c r="L112">
        <f t="shared" si="9"/>
        <v>216.16000000000003</v>
      </c>
      <c r="M112" t="str">
        <f t="shared" si="15"/>
        <v> T R</v>
      </c>
    </row>
    <row r="113" spans="1:13" ht="15">
      <c r="A113" t="s">
        <v>694</v>
      </c>
      <c r="B113" t="s">
        <v>1650</v>
      </c>
      <c r="C113" t="s">
        <v>2083</v>
      </c>
      <c r="D113" t="s">
        <v>2084</v>
      </c>
      <c r="E113" t="s">
        <v>695</v>
      </c>
      <c r="F113" t="s">
        <v>2085</v>
      </c>
      <c r="G113" t="s">
        <v>2086</v>
      </c>
      <c r="H113" t="s">
        <v>2082</v>
      </c>
      <c r="I113" t="str">
        <f t="shared" si="13"/>
        <v>180.03 mi</v>
      </c>
      <c r="J113">
        <f t="shared" si="8"/>
        <v>8</v>
      </c>
      <c r="K113" t="str">
        <f t="shared" si="14"/>
        <v>180.03 </v>
      </c>
      <c r="L113">
        <f t="shared" si="9"/>
        <v>217.07999999999998</v>
      </c>
      <c r="M113" t="str">
        <f t="shared" si="15"/>
        <v> Pass</v>
      </c>
    </row>
    <row r="114" spans="1:13" ht="15">
      <c r="A114" t="s">
        <v>2507</v>
      </c>
      <c r="B114" t="s">
        <v>2484</v>
      </c>
      <c r="C114" t="s">
        <v>696</v>
      </c>
      <c r="D114" t="s">
        <v>2508</v>
      </c>
      <c r="E114" t="s">
        <v>697</v>
      </c>
      <c r="F114" t="s">
        <v>2509</v>
      </c>
      <c r="G114" t="s">
        <v>2510</v>
      </c>
      <c r="H114" t="s">
        <v>2511</v>
      </c>
      <c r="I114" t="str">
        <f t="shared" si="13"/>
        <v>180.84 mi</v>
      </c>
      <c r="J114">
        <f t="shared" si="8"/>
        <v>8</v>
      </c>
      <c r="K114" t="str">
        <f t="shared" si="14"/>
        <v>180.84 </v>
      </c>
      <c r="L114">
        <f t="shared" si="9"/>
        <v>217.89</v>
      </c>
      <c r="M114" t="str">
        <f t="shared" si="15"/>
        <v> ***1st L</v>
      </c>
    </row>
    <row r="115" spans="1:13" ht="15">
      <c r="A115" t="s">
        <v>698</v>
      </c>
      <c r="B115" t="s">
        <v>1621</v>
      </c>
      <c r="C115" t="s">
        <v>2512</v>
      </c>
      <c r="D115" t="s">
        <v>3431</v>
      </c>
      <c r="E115" t="s">
        <v>699</v>
      </c>
      <c r="F115" t="s">
        <v>2513</v>
      </c>
      <c r="G115" t="s">
        <v>2514</v>
      </c>
      <c r="H115" t="s">
        <v>2515</v>
      </c>
      <c r="I115" t="str">
        <f t="shared" si="13"/>
        <v>184.88 mi</v>
      </c>
      <c r="J115">
        <f t="shared" si="8"/>
        <v>8</v>
      </c>
      <c r="K115" t="str">
        <f t="shared" si="14"/>
        <v>184.88 </v>
      </c>
      <c r="L115">
        <f t="shared" si="9"/>
        <v>221.93</v>
      </c>
      <c r="M115" t="str">
        <f t="shared" si="15"/>
        <v> B L</v>
      </c>
    </row>
    <row r="116" spans="1:13" ht="15">
      <c r="A116" t="s">
        <v>2516</v>
      </c>
      <c r="B116" t="s">
        <v>1646</v>
      </c>
      <c r="C116" t="s">
        <v>2831</v>
      </c>
      <c r="D116" t="s">
        <v>1267</v>
      </c>
      <c r="E116" t="s">
        <v>700</v>
      </c>
      <c r="F116" t="s">
        <v>2517</v>
      </c>
      <c r="G116" t="s">
        <v>2518</v>
      </c>
      <c r="H116" t="s">
        <v>2519</v>
      </c>
      <c r="I116" t="str">
        <f t="shared" si="13"/>
        <v>185.62 mi</v>
      </c>
      <c r="J116">
        <f t="shared" si="8"/>
        <v>8</v>
      </c>
      <c r="K116" t="str">
        <f t="shared" si="14"/>
        <v>185.62 </v>
      </c>
      <c r="L116">
        <f t="shared" si="9"/>
        <v>222.67000000000002</v>
      </c>
      <c r="M116" t="str">
        <f t="shared" si="15"/>
        <v> X</v>
      </c>
    </row>
    <row r="117" spans="1:13" ht="15">
      <c r="A117" t="s">
        <v>2832</v>
      </c>
      <c r="B117" t="s">
        <v>1669</v>
      </c>
      <c r="C117" t="s">
        <v>3164</v>
      </c>
      <c r="D117" t="s">
        <v>1240</v>
      </c>
      <c r="E117" t="s">
        <v>701</v>
      </c>
      <c r="F117" t="s">
        <v>2520</v>
      </c>
      <c r="G117" t="s">
        <v>2521</v>
      </c>
      <c r="H117" t="s">
        <v>2522</v>
      </c>
      <c r="I117" t="str">
        <f t="shared" si="13"/>
        <v>185.89 mi</v>
      </c>
      <c r="J117">
        <f t="shared" si="8"/>
        <v>8</v>
      </c>
      <c r="K117" t="str">
        <f t="shared" si="14"/>
        <v>185.89 </v>
      </c>
      <c r="L117">
        <f t="shared" si="9"/>
        <v>222.94</v>
      </c>
      <c r="M117" t="str">
        <f t="shared" si="15"/>
        <v> STOP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A10">
      <selection activeCell="A27" sqref="A27"/>
    </sheetView>
  </sheetViews>
  <sheetFormatPr defaultColWidth="8.88671875" defaultRowHeight="15"/>
  <cols>
    <col min="1" max="1" width="28.6640625" style="0" customWidth="1"/>
    <col min="2" max="2" width="9.88671875" style="0" customWidth="1"/>
    <col min="3" max="9" width="8.6640625" style="0" customWidth="1"/>
    <col min="10" max="10" width="4.77734375" style="0" customWidth="1"/>
    <col min="11" max="16384" width="8.6640625" style="0" customWidth="1"/>
  </cols>
  <sheetData>
    <row r="1" spans="1:14" ht="15">
      <c r="A1" t="s">
        <v>1633</v>
      </c>
      <c r="B1" t="s">
        <v>1634</v>
      </c>
      <c r="C1" t="s">
        <v>1635</v>
      </c>
      <c r="D1" t="s">
        <v>1636</v>
      </c>
      <c r="E1" t="s">
        <v>1637</v>
      </c>
      <c r="F1" t="s">
        <v>1638</v>
      </c>
      <c r="G1" t="s">
        <v>1639</v>
      </c>
      <c r="H1" t="s">
        <v>1640</v>
      </c>
      <c r="K1">
        <f>INDIRECT("L"&amp;COUNTA(K2:K100)+1)</f>
        <v>444.2</v>
      </c>
      <c r="L1">
        <f>Seg2!K1</f>
        <v>222.94</v>
      </c>
      <c r="M1" t="s">
        <v>2470</v>
      </c>
      <c r="N1" t="str">
        <f>"Halstead_Lewisburg_A.csv"</f>
        <v>Halstead_Lewisburg_A.csv</v>
      </c>
    </row>
    <row r="2" spans="1:13" ht="15">
      <c r="A2" t="s">
        <v>2538</v>
      </c>
      <c r="B2" t="s">
        <v>2494</v>
      </c>
      <c r="C2" t="s">
        <v>713</v>
      </c>
      <c r="D2" t="s">
        <v>1622</v>
      </c>
      <c r="E2" t="s">
        <v>1642</v>
      </c>
      <c r="F2" t="s">
        <v>2539</v>
      </c>
      <c r="G2" t="s">
        <v>2521</v>
      </c>
      <c r="H2" t="s">
        <v>2522</v>
      </c>
      <c r="I2" t="str">
        <f aca="true" t="shared" si="0" ref="I2:I19">TRIM(E2)</f>
        <v>0.00 mi</v>
      </c>
      <c r="J2">
        <f aca="true" t="shared" si="1" ref="J2:J65">FIND("mi",I2)</f>
        <v>6</v>
      </c>
      <c r="K2" t="str">
        <f aca="true" t="shared" si="2" ref="K2:K18">LEFT(I2,J2-1)</f>
        <v>0.00 </v>
      </c>
      <c r="L2">
        <f aca="true" t="shared" si="3" ref="L2:L65">$L$1+K2</f>
        <v>222.94</v>
      </c>
      <c r="M2" t="str">
        <f aca="true" t="shared" si="4" ref="M2:M18">IF(B2&lt;&gt;" ???",B2,$M$1)</f>
        <v> START</v>
      </c>
    </row>
    <row r="3" spans="1:13" ht="15">
      <c r="A3" t="s">
        <v>714</v>
      </c>
      <c r="B3" t="s">
        <v>2471</v>
      </c>
      <c r="C3" t="s">
        <v>715</v>
      </c>
      <c r="D3" t="s">
        <v>1741</v>
      </c>
      <c r="E3" t="s">
        <v>1622</v>
      </c>
      <c r="F3" t="s">
        <v>716</v>
      </c>
      <c r="G3" t="s">
        <v>2249</v>
      </c>
      <c r="H3" t="s">
        <v>2250</v>
      </c>
      <c r="I3" t="str">
        <f t="shared" si="0"/>
        <v>0.02 mi</v>
      </c>
      <c r="J3">
        <f t="shared" si="1"/>
        <v>6</v>
      </c>
      <c r="K3" t="str">
        <f t="shared" si="2"/>
        <v>0.02 </v>
      </c>
      <c r="L3">
        <f t="shared" si="3"/>
        <v>222.96</v>
      </c>
      <c r="M3" t="str">
        <f t="shared" si="4"/>
        <v> Backtrack</v>
      </c>
    </row>
    <row r="4" spans="1:13" ht="15">
      <c r="A4" t="s">
        <v>717</v>
      </c>
      <c r="B4" t="s">
        <v>1646</v>
      </c>
      <c r="C4" t="s">
        <v>718</v>
      </c>
      <c r="D4" t="s">
        <v>2488</v>
      </c>
      <c r="E4" t="s">
        <v>1267</v>
      </c>
      <c r="F4" t="s">
        <v>719</v>
      </c>
      <c r="G4" t="s">
        <v>720</v>
      </c>
      <c r="H4" t="s">
        <v>721</v>
      </c>
      <c r="I4" t="str">
        <f t="shared" si="0"/>
        <v>0.26 mi</v>
      </c>
      <c r="J4">
        <f t="shared" si="1"/>
        <v>6</v>
      </c>
      <c r="K4" t="str">
        <f t="shared" si="2"/>
        <v>0.26 </v>
      </c>
      <c r="L4">
        <f t="shared" si="3"/>
        <v>223.2</v>
      </c>
      <c r="M4" t="str">
        <f t="shared" si="4"/>
        <v> X</v>
      </c>
    </row>
    <row r="5" spans="1:13" ht="15">
      <c r="A5" t="s">
        <v>722</v>
      </c>
      <c r="B5" t="s">
        <v>1651</v>
      </c>
      <c r="C5" t="s">
        <v>723</v>
      </c>
      <c r="D5" t="s">
        <v>2502</v>
      </c>
      <c r="E5" t="s">
        <v>1101</v>
      </c>
      <c r="F5" t="s">
        <v>724</v>
      </c>
      <c r="G5" t="s">
        <v>725</v>
      </c>
      <c r="H5" t="s">
        <v>726</v>
      </c>
      <c r="I5" t="str">
        <f t="shared" si="0"/>
        <v>0.36 mi</v>
      </c>
      <c r="J5">
        <f t="shared" si="1"/>
        <v>6</v>
      </c>
      <c r="K5" t="str">
        <f t="shared" si="2"/>
        <v>0.36 </v>
      </c>
      <c r="L5">
        <f t="shared" si="3"/>
        <v>223.3</v>
      </c>
      <c r="M5" t="str">
        <f t="shared" si="4"/>
        <v> 1st R</v>
      </c>
    </row>
    <row r="6" spans="1:13" ht="15">
      <c r="A6" t="s">
        <v>727</v>
      </c>
      <c r="B6" t="s">
        <v>1651</v>
      </c>
      <c r="C6" t="s">
        <v>728</v>
      </c>
      <c r="D6" t="s">
        <v>729</v>
      </c>
      <c r="E6" t="s">
        <v>2474</v>
      </c>
      <c r="F6" t="s">
        <v>730</v>
      </c>
      <c r="G6" t="s">
        <v>720</v>
      </c>
      <c r="H6" t="s">
        <v>731</v>
      </c>
      <c r="I6" t="str">
        <f t="shared" si="0"/>
        <v>0.50 mi</v>
      </c>
      <c r="J6">
        <f t="shared" si="1"/>
        <v>6</v>
      </c>
      <c r="K6" t="str">
        <f t="shared" si="2"/>
        <v>0.50 </v>
      </c>
      <c r="L6">
        <f t="shared" si="3"/>
        <v>223.44</v>
      </c>
      <c r="M6" t="str">
        <f t="shared" si="4"/>
        <v> 1st R</v>
      </c>
    </row>
    <row r="7" spans="1:13" ht="15">
      <c r="A7" t="s">
        <v>732</v>
      </c>
      <c r="B7" t="s">
        <v>1646</v>
      </c>
      <c r="C7" t="s">
        <v>733</v>
      </c>
      <c r="D7" t="s">
        <v>734</v>
      </c>
      <c r="E7" t="s">
        <v>735</v>
      </c>
      <c r="F7" t="s">
        <v>736</v>
      </c>
      <c r="G7" t="s">
        <v>2251</v>
      </c>
      <c r="H7" t="s">
        <v>737</v>
      </c>
      <c r="I7" t="str">
        <f t="shared" si="0"/>
        <v>3.17 mi</v>
      </c>
      <c r="J7">
        <f t="shared" si="1"/>
        <v>6</v>
      </c>
      <c r="K7" t="str">
        <f t="shared" si="2"/>
        <v>3.17 </v>
      </c>
      <c r="L7">
        <f t="shared" si="3"/>
        <v>226.10999999999999</v>
      </c>
      <c r="M7" t="str">
        <f t="shared" si="4"/>
        <v> X</v>
      </c>
    </row>
    <row r="8" spans="1:13" ht="15">
      <c r="A8" t="s">
        <v>738</v>
      </c>
      <c r="B8" t="s">
        <v>1650</v>
      </c>
      <c r="C8" t="s">
        <v>2833</v>
      </c>
      <c r="D8" t="s">
        <v>1101</v>
      </c>
      <c r="E8" t="s">
        <v>739</v>
      </c>
      <c r="F8" t="s">
        <v>740</v>
      </c>
      <c r="G8" t="s">
        <v>741</v>
      </c>
      <c r="H8" t="s">
        <v>742</v>
      </c>
      <c r="I8" t="str">
        <f t="shared" si="0"/>
        <v>14.89 mi</v>
      </c>
      <c r="J8">
        <f t="shared" si="1"/>
        <v>7</v>
      </c>
      <c r="K8" t="str">
        <f t="shared" si="2"/>
        <v>14.89 </v>
      </c>
      <c r="L8">
        <f t="shared" si="3"/>
        <v>237.82999999999998</v>
      </c>
      <c r="M8" t="str">
        <f t="shared" si="4"/>
        <v> Pass</v>
      </c>
    </row>
    <row r="9" spans="1:13" ht="15">
      <c r="A9" t="s">
        <v>2834</v>
      </c>
      <c r="B9" t="s">
        <v>743</v>
      </c>
      <c r="C9" t="s">
        <v>744</v>
      </c>
      <c r="D9" t="s">
        <v>1653</v>
      </c>
      <c r="E9" t="s">
        <v>745</v>
      </c>
      <c r="F9" t="s">
        <v>746</v>
      </c>
      <c r="G9" t="s">
        <v>747</v>
      </c>
      <c r="H9" t="s">
        <v>748</v>
      </c>
      <c r="I9" t="str">
        <f t="shared" si="0"/>
        <v>15.24 mi</v>
      </c>
      <c r="J9">
        <f t="shared" si="1"/>
        <v>7</v>
      </c>
      <c r="K9" t="str">
        <f t="shared" si="2"/>
        <v>15.24 </v>
      </c>
      <c r="L9">
        <f t="shared" si="3"/>
        <v>238.18</v>
      </c>
      <c r="M9" t="str">
        <f t="shared" si="4"/>
        <v> Left</v>
      </c>
    </row>
    <row r="10" spans="1:13" ht="15">
      <c r="A10" t="s">
        <v>749</v>
      </c>
      <c r="B10" t="s">
        <v>1641</v>
      </c>
      <c r="C10" t="s">
        <v>843</v>
      </c>
      <c r="D10" t="s">
        <v>1296</v>
      </c>
      <c r="E10" t="s">
        <v>844</v>
      </c>
      <c r="F10" t="s">
        <v>845</v>
      </c>
      <c r="G10" t="s">
        <v>846</v>
      </c>
      <c r="H10" t="s">
        <v>847</v>
      </c>
      <c r="I10" t="str">
        <f t="shared" si="0"/>
        <v>15.41 mi</v>
      </c>
      <c r="J10">
        <f t="shared" si="1"/>
        <v>7</v>
      </c>
      <c r="K10" t="str">
        <f t="shared" si="2"/>
        <v>15.41 </v>
      </c>
      <c r="L10">
        <f t="shared" si="3"/>
        <v>238.35</v>
      </c>
      <c r="M10" t="str">
        <f t="shared" si="4"/>
        <v> R</v>
      </c>
    </row>
    <row r="11" spans="1:13" ht="15">
      <c r="A11" t="s">
        <v>848</v>
      </c>
      <c r="B11" t="s">
        <v>1644</v>
      </c>
      <c r="C11" t="s">
        <v>849</v>
      </c>
      <c r="D11" t="s">
        <v>3431</v>
      </c>
      <c r="E11" t="s">
        <v>850</v>
      </c>
      <c r="F11" t="s">
        <v>851</v>
      </c>
      <c r="G11" t="s">
        <v>852</v>
      </c>
      <c r="H11" t="s">
        <v>853</v>
      </c>
      <c r="I11" t="str">
        <f t="shared" si="0"/>
        <v>17.30 mi</v>
      </c>
      <c r="J11">
        <f t="shared" si="1"/>
        <v>7</v>
      </c>
      <c r="K11" t="str">
        <f t="shared" si="2"/>
        <v>17.30 </v>
      </c>
      <c r="L11">
        <f t="shared" si="3"/>
        <v>240.24</v>
      </c>
      <c r="M11" t="str">
        <f t="shared" si="4"/>
        <v> L</v>
      </c>
    </row>
    <row r="12" spans="1:13" ht="15">
      <c r="A12" t="s">
        <v>854</v>
      </c>
      <c r="B12" t="s">
        <v>1624</v>
      </c>
      <c r="C12" t="s">
        <v>3190</v>
      </c>
      <c r="D12" t="s">
        <v>2651</v>
      </c>
      <c r="E12" t="s">
        <v>3191</v>
      </c>
      <c r="F12" t="s">
        <v>3192</v>
      </c>
      <c r="G12" t="s">
        <v>3193</v>
      </c>
      <c r="H12" t="s">
        <v>3194</v>
      </c>
      <c r="I12" t="str">
        <f t="shared" si="0"/>
        <v>18.04 mi</v>
      </c>
      <c r="J12">
        <f t="shared" si="1"/>
        <v>7</v>
      </c>
      <c r="K12" t="str">
        <f t="shared" si="2"/>
        <v>18.04 </v>
      </c>
      <c r="L12">
        <f t="shared" si="3"/>
        <v>240.98</v>
      </c>
      <c r="M12" t="str">
        <f t="shared" si="4"/>
        <v> 1st B R</v>
      </c>
    </row>
    <row r="13" spans="1:13" ht="15">
      <c r="A13" t="s">
        <v>3195</v>
      </c>
      <c r="B13" t="s">
        <v>1621</v>
      </c>
      <c r="C13" t="s">
        <v>2835</v>
      </c>
      <c r="D13" t="s">
        <v>1283</v>
      </c>
      <c r="E13" t="s">
        <v>3196</v>
      </c>
      <c r="F13" t="s">
        <v>3197</v>
      </c>
      <c r="G13" t="s">
        <v>3198</v>
      </c>
      <c r="H13" t="s">
        <v>3199</v>
      </c>
      <c r="I13" t="str">
        <f t="shared" si="0"/>
        <v>18.61 mi</v>
      </c>
      <c r="J13">
        <f t="shared" si="1"/>
        <v>7</v>
      </c>
      <c r="K13" t="str">
        <f t="shared" si="2"/>
        <v>18.61 </v>
      </c>
      <c r="L13">
        <f t="shared" si="3"/>
        <v>241.55</v>
      </c>
      <c r="M13" t="str">
        <f t="shared" si="4"/>
        <v> B L</v>
      </c>
    </row>
    <row r="14" spans="1:13" ht="15">
      <c r="A14" t="s">
        <v>2836</v>
      </c>
      <c r="B14" t="s">
        <v>3200</v>
      </c>
      <c r="C14" t="s">
        <v>2837</v>
      </c>
      <c r="D14" t="s">
        <v>1665</v>
      </c>
      <c r="E14" t="s">
        <v>3201</v>
      </c>
      <c r="F14" t="s">
        <v>3202</v>
      </c>
      <c r="G14" t="s">
        <v>3203</v>
      </c>
      <c r="H14" t="s">
        <v>3204</v>
      </c>
      <c r="I14" t="str">
        <f t="shared" si="0"/>
        <v>23.35 mi</v>
      </c>
      <c r="J14">
        <f t="shared" si="1"/>
        <v>7</v>
      </c>
      <c r="K14" t="str">
        <f t="shared" si="2"/>
        <v>23.35 </v>
      </c>
      <c r="L14">
        <f t="shared" si="3"/>
        <v>246.29</v>
      </c>
      <c r="M14" t="str">
        <f t="shared" si="4"/>
        <v> T R + X</v>
      </c>
    </row>
    <row r="15" spans="1:13" ht="15">
      <c r="A15" t="s">
        <v>2838</v>
      </c>
      <c r="B15" t="s">
        <v>1644</v>
      </c>
      <c r="C15" t="s">
        <v>3205</v>
      </c>
      <c r="D15" t="s">
        <v>3206</v>
      </c>
      <c r="E15" t="s">
        <v>3207</v>
      </c>
      <c r="F15" t="s">
        <v>3208</v>
      </c>
      <c r="G15" t="s">
        <v>3193</v>
      </c>
      <c r="H15" t="s">
        <v>3209</v>
      </c>
      <c r="I15" t="str">
        <f t="shared" si="0"/>
        <v>23.75 mi</v>
      </c>
      <c r="J15">
        <f t="shared" si="1"/>
        <v>7</v>
      </c>
      <c r="K15" t="str">
        <f t="shared" si="2"/>
        <v>23.75 </v>
      </c>
      <c r="L15">
        <f t="shared" si="3"/>
        <v>246.69</v>
      </c>
      <c r="M15" t="str">
        <f t="shared" si="4"/>
        <v> L</v>
      </c>
    </row>
    <row r="16" spans="1:13" ht="15">
      <c r="A16" t="s">
        <v>3210</v>
      </c>
      <c r="B16" t="s">
        <v>1650</v>
      </c>
      <c r="C16" t="s">
        <v>3211</v>
      </c>
      <c r="D16" t="s">
        <v>3212</v>
      </c>
      <c r="E16" t="s">
        <v>3213</v>
      </c>
      <c r="F16" t="s">
        <v>3214</v>
      </c>
      <c r="G16" t="s">
        <v>2567</v>
      </c>
      <c r="H16" t="s">
        <v>3215</v>
      </c>
      <c r="I16" t="str">
        <f t="shared" si="0"/>
        <v>35.16 mi</v>
      </c>
      <c r="J16">
        <f t="shared" si="1"/>
        <v>7</v>
      </c>
      <c r="K16" t="str">
        <f t="shared" si="2"/>
        <v>35.16 </v>
      </c>
      <c r="L16">
        <f t="shared" si="3"/>
        <v>258.1</v>
      </c>
      <c r="M16" t="str">
        <f t="shared" si="4"/>
        <v> Pass</v>
      </c>
    </row>
    <row r="17" spans="1:13" ht="15">
      <c r="A17" t="s">
        <v>3216</v>
      </c>
      <c r="B17" t="s">
        <v>1631</v>
      </c>
      <c r="C17" t="s">
        <v>3217</v>
      </c>
      <c r="D17" t="s">
        <v>1101</v>
      </c>
      <c r="E17" t="s">
        <v>3218</v>
      </c>
      <c r="F17" t="s">
        <v>3219</v>
      </c>
      <c r="G17" t="s">
        <v>2569</v>
      </c>
      <c r="H17" t="s">
        <v>2570</v>
      </c>
      <c r="I17" t="str">
        <f t="shared" si="0"/>
        <v>37.26 mi</v>
      </c>
      <c r="J17">
        <f t="shared" si="1"/>
        <v>7</v>
      </c>
      <c r="K17" t="str">
        <f t="shared" si="2"/>
        <v>37.26 </v>
      </c>
      <c r="L17">
        <f t="shared" si="3"/>
        <v>260.2</v>
      </c>
      <c r="M17" t="str">
        <f t="shared" si="4"/>
        <v> Straight</v>
      </c>
    </row>
    <row r="18" spans="1:13" ht="15">
      <c r="A18" t="s">
        <v>3220</v>
      </c>
      <c r="B18" t="s">
        <v>1648</v>
      </c>
      <c r="C18" t="s">
        <v>3221</v>
      </c>
      <c r="D18" t="s">
        <v>2490</v>
      </c>
      <c r="E18" t="s">
        <v>3222</v>
      </c>
      <c r="F18" t="s">
        <v>3223</v>
      </c>
      <c r="G18" t="s">
        <v>3224</v>
      </c>
      <c r="H18" t="s">
        <v>3225</v>
      </c>
      <c r="I18" t="str">
        <f t="shared" si="0"/>
        <v>37.62 mi</v>
      </c>
      <c r="J18">
        <f t="shared" si="1"/>
        <v>7</v>
      </c>
      <c r="K18" t="str">
        <f t="shared" si="2"/>
        <v>37.62 </v>
      </c>
      <c r="L18">
        <f t="shared" si="3"/>
        <v>260.56</v>
      </c>
      <c r="M18" t="str">
        <f t="shared" si="4"/>
        <v> T R</v>
      </c>
    </row>
    <row r="19" spans="1:13" ht="15">
      <c r="A19" t="s">
        <v>3226</v>
      </c>
      <c r="B19" t="s">
        <v>1647</v>
      </c>
      <c r="C19" t="s">
        <v>3227</v>
      </c>
      <c r="D19" t="s">
        <v>1601</v>
      </c>
      <c r="E19" t="s">
        <v>3228</v>
      </c>
      <c r="F19" t="s">
        <v>3229</v>
      </c>
      <c r="G19" t="s">
        <v>3230</v>
      </c>
      <c r="H19" t="s">
        <v>3231</v>
      </c>
      <c r="I19" t="str">
        <f t="shared" si="0"/>
        <v>37.74 mi</v>
      </c>
      <c r="J19">
        <f t="shared" si="1"/>
        <v>7</v>
      </c>
      <c r="K19" t="str">
        <f aca="true" t="shared" si="5" ref="K19:K44">LEFT(I19,J19-1)</f>
        <v>37.74 </v>
      </c>
      <c r="L19">
        <f t="shared" si="3"/>
        <v>260.68</v>
      </c>
      <c r="M19" t="str">
        <f aca="true" t="shared" si="6" ref="M19:M44">IF(B19&lt;&gt;" ???",B19,$M$1)</f>
        <v> T L</v>
      </c>
    </row>
    <row r="20" spans="1:13" ht="15">
      <c r="A20" t="s">
        <v>3232</v>
      </c>
      <c r="B20" t="s">
        <v>1621</v>
      </c>
      <c r="C20" t="s">
        <v>3233</v>
      </c>
      <c r="D20" t="s">
        <v>3234</v>
      </c>
      <c r="E20" t="s">
        <v>3235</v>
      </c>
      <c r="F20" t="s">
        <v>3236</v>
      </c>
      <c r="G20" t="s">
        <v>2572</v>
      </c>
      <c r="H20" t="s">
        <v>2573</v>
      </c>
      <c r="I20" t="str">
        <f aca="true" t="shared" si="7" ref="I20:I44">TRIM(E20)</f>
        <v>38.64 mi</v>
      </c>
      <c r="J20">
        <f t="shared" si="1"/>
        <v>7</v>
      </c>
      <c r="K20" t="str">
        <f t="shared" si="5"/>
        <v>38.64 </v>
      </c>
      <c r="L20">
        <f t="shared" si="3"/>
        <v>261.58</v>
      </c>
      <c r="M20" t="str">
        <f t="shared" si="6"/>
        <v> B L</v>
      </c>
    </row>
    <row r="21" spans="1:13" ht="15">
      <c r="A21" t="s">
        <v>3237</v>
      </c>
      <c r="B21" t="s">
        <v>1644</v>
      </c>
      <c r="C21" t="s">
        <v>3238</v>
      </c>
      <c r="D21" t="s">
        <v>2495</v>
      </c>
      <c r="E21" t="s">
        <v>3239</v>
      </c>
      <c r="F21" t="s">
        <v>3240</v>
      </c>
      <c r="G21" t="s">
        <v>3241</v>
      </c>
      <c r="H21" t="s">
        <v>3242</v>
      </c>
      <c r="I21" t="str">
        <f t="shared" si="7"/>
        <v>46.11 mi</v>
      </c>
      <c r="J21">
        <f t="shared" si="1"/>
        <v>7</v>
      </c>
      <c r="K21" t="str">
        <f t="shared" si="5"/>
        <v>46.11 </v>
      </c>
      <c r="L21">
        <f t="shared" si="3"/>
        <v>269.05</v>
      </c>
      <c r="M21" t="str">
        <f t="shared" si="6"/>
        <v> L</v>
      </c>
    </row>
    <row r="22" spans="1:13" ht="15">
      <c r="A22" t="s">
        <v>3243</v>
      </c>
      <c r="B22" t="s">
        <v>1647</v>
      </c>
      <c r="C22" t="s">
        <v>3244</v>
      </c>
      <c r="D22" t="s">
        <v>3572</v>
      </c>
      <c r="E22" t="s">
        <v>3245</v>
      </c>
      <c r="F22" t="s">
        <v>3246</v>
      </c>
      <c r="G22" t="s">
        <v>3247</v>
      </c>
      <c r="H22" t="s">
        <v>3248</v>
      </c>
      <c r="I22" t="str">
        <f t="shared" si="7"/>
        <v>46.69 mi</v>
      </c>
      <c r="J22">
        <f t="shared" si="1"/>
        <v>7</v>
      </c>
      <c r="K22" t="str">
        <f t="shared" si="5"/>
        <v>46.69 </v>
      </c>
      <c r="L22">
        <f t="shared" si="3"/>
        <v>269.63</v>
      </c>
      <c r="M22" t="str">
        <f t="shared" si="6"/>
        <v> T L</v>
      </c>
    </row>
    <row r="23" spans="1:13" ht="15">
      <c r="A23" t="s">
        <v>3249</v>
      </c>
      <c r="B23" t="s">
        <v>1669</v>
      </c>
      <c r="C23" t="s">
        <v>3250</v>
      </c>
      <c r="D23" t="s">
        <v>2478</v>
      </c>
      <c r="E23" t="s">
        <v>3251</v>
      </c>
      <c r="F23" t="s">
        <v>3252</v>
      </c>
      <c r="G23" t="s">
        <v>3253</v>
      </c>
      <c r="H23" t="s">
        <v>3254</v>
      </c>
      <c r="I23" t="str">
        <f t="shared" si="7"/>
        <v>46.85 mi</v>
      </c>
      <c r="J23">
        <f t="shared" si="1"/>
        <v>7</v>
      </c>
      <c r="K23" t="str">
        <f t="shared" si="5"/>
        <v>46.85 </v>
      </c>
      <c r="L23">
        <f t="shared" si="3"/>
        <v>269.79</v>
      </c>
      <c r="M23" t="str">
        <f t="shared" si="6"/>
        <v> STOP</v>
      </c>
    </row>
    <row r="24" spans="1:13" ht="15">
      <c r="A24" t="s">
        <v>3255</v>
      </c>
      <c r="B24" t="s">
        <v>2471</v>
      </c>
      <c r="C24" t="s">
        <v>3256</v>
      </c>
      <c r="D24" t="s">
        <v>3257</v>
      </c>
      <c r="E24" t="s">
        <v>929</v>
      </c>
      <c r="F24" t="s">
        <v>930</v>
      </c>
      <c r="G24" t="s">
        <v>931</v>
      </c>
      <c r="H24" t="s">
        <v>932</v>
      </c>
      <c r="I24" t="str">
        <f t="shared" si="7"/>
        <v>46.90 mi</v>
      </c>
      <c r="J24">
        <f t="shared" si="1"/>
        <v>7</v>
      </c>
      <c r="K24" t="str">
        <f t="shared" si="5"/>
        <v>46.90 </v>
      </c>
      <c r="L24">
        <f t="shared" si="3"/>
        <v>269.84</v>
      </c>
      <c r="M24" t="str">
        <f t="shared" si="6"/>
        <v> Backtrack</v>
      </c>
    </row>
    <row r="25" spans="1:13" ht="15">
      <c r="A25" t="s">
        <v>933</v>
      </c>
      <c r="B25" t="s">
        <v>1646</v>
      </c>
      <c r="C25" t="s">
        <v>934</v>
      </c>
      <c r="D25" t="s">
        <v>935</v>
      </c>
      <c r="E25" t="s">
        <v>936</v>
      </c>
      <c r="F25" t="s">
        <v>937</v>
      </c>
      <c r="G25" t="s">
        <v>2574</v>
      </c>
      <c r="H25" t="s">
        <v>938</v>
      </c>
      <c r="I25" t="str">
        <f t="shared" si="7"/>
        <v>52.11 mi</v>
      </c>
      <c r="J25">
        <f t="shared" si="1"/>
        <v>7</v>
      </c>
      <c r="K25" t="str">
        <f t="shared" si="5"/>
        <v>52.11 </v>
      </c>
      <c r="L25">
        <f t="shared" si="3"/>
        <v>275.05</v>
      </c>
      <c r="M25" t="str">
        <f t="shared" si="6"/>
        <v> X</v>
      </c>
    </row>
    <row r="26" spans="1:13" ht="15">
      <c r="A26" t="s">
        <v>2761</v>
      </c>
      <c r="B26" t="s">
        <v>1646</v>
      </c>
      <c r="C26" t="s">
        <v>2117</v>
      </c>
      <c r="D26" t="s">
        <v>2118</v>
      </c>
      <c r="E26" t="s">
        <v>939</v>
      </c>
      <c r="F26" t="s">
        <v>2119</v>
      </c>
      <c r="G26" t="s">
        <v>2120</v>
      </c>
      <c r="H26" t="s">
        <v>2121</v>
      </c>
      <c r="I26" t="str">
        <f t="shared" si="7"/>
        <v>57.10 mi</v>
      </c>
      <c r="J26">
        <f t="shared" si="1"/>
        <v>7</v>
      </c>
      <c r="K26" t="str">
        <f t="shared" si="5"/>
        <v>57.10 </v>
      </c>
      <c r="L26">
        <f t="shared" si="3"/>
        <v>280.04</v>
      </c>
      <c r="M26" t="str">
        <f t="shared" si="6"/>
        <v> X</v>
      </c>
    </row>
    <row r="27" spans="1:13" ht="15">
      <c r="A27" t="s">
        <v>2122</v>
      </c>
      <c r="B27" t="s">
        <v>1648</v>
      </c>
      <c r="C27" t="s">
        <v>940</v>
      </c>
      <c r="D27" t="s">
        <v>2489</v>
      </c>
      <c r="E27" t="s">
        <v>941</v>
      </c>
      <c r="F27" t="s">
        <v>2131</v>
      </c>
      <c r="G27" t="s">
        <v>2132</v>
      </c>
      <c r="H27" t="s">
        <v>2133</v>
      </c>
      <c r="I27" t="str">
        <f t="shared" si="7"/>
        <v>70.16 mi</v>
      </c>
      <c r="J27">
        <f t="shared" si="1"/>
        <v>7</v>
      </c>
      <c r="K27" t="str">
        <f t="shared" si="5"/>
        <v>70.16 </v>
      </c>
      <c r="L27">
        <f t="shared" si="3"/>
        <v>293.1</v>
      </c>
      <c r="M27" t="str">
        <f t="shared" si="6"/>
        <v> T R</v>
      </c>
    </row>
    <row r="28" spans="1:13" ht="15">
      <c r="A28" t="s">
        <v>942</v>
      </c>
      <c r="B28" t="s">
        <v>1669</v>
      </c>
      <c r="C28" t="s">
        <v>943</v>
      </c>
      <c r="D28" t="s">
        <v>1622</v>
      </c>
      <c r="E28" t="s">
        <v>944</v>
      </c>
      <c r="F28" t="s">
        <v>945</v>
      </c>
      <c r="G28" t="s">
        <v>2135</v>
      </c>
      <c r="H28" t="s">
        <v>2136</v>
      </c>
      <c r="I28" t="str">
        <f t="shared" si="7"/>
        <v>70.87 mi</v>
      </c>
      <c r="J28">
        <f t="shared" si="1"/>
        <v>7</v>
      </c>
      <c r="K28" t="str">
        <f t="shared" si="5"/>
        <v>70.87 </v>
      </c>
      <c r="L28">
        <f t="shared" si="3"/>
        <v>293.81</v>
      </c>
      <c r="M28" t="str">
        <f t="shared" si="6"/>
        <v> STOP</v>
      </c>
    </row>
    <row r="29" spans="1:13" ht="15">
      <c r="A29" t="s">
        <v>946</v>
      </c>
      <c r="B29" t="s">
        <v>1616</v>
      </c>
      <c r="C29" t="s">
        <v>947</v>
      </c>
      <c r="D29" t="s">
        <v>2502</v>
      </c>
      <c r="E29" t="s">
        <v>948</v>
      </c>
      <c r="F29" t="s">
        <v>949</v>
      </c>
      <c r="G29" t="s">
        <v>950</v>
      </c>
      <c r="H29" t="s">
        <v>951</v>
      </c>
      <c r="I29" t="str">
        <f t="shared" si="7"/>
        <v>70.89 mi</v>
      </c>
      <c r="J29">
        <f t="shared" si="1"/>
        <v>7</v>
      </c>
      <c r="K29" t="str">
        <f t="shared" si="5"/>
        <v>70.89 </v>
      </c>
      <c r="L29">
        <f t="shared" si="3"/>
        <v>293.83</v>
      </c>
      <c r="M29" t="str">
        <f t="shared" si="6"/>
        <v> Turn</v>
      </c>
    </row>
    <row r="30" spans="1:13" ht="15">
      <c r="A30" t="s">
        <v>952</v>
      </c>
      <c r="B30" t="s">
        <v>953</v>
      </c>
      <c r="C30" t="s">
        <v>954</v>
      </c>
      <c r="D30" t="s">
        <v>3034</v>
      </c>
      <c r="E30" t="s">
        <v>955</v>
      </c>
      <c r="F30" t="s">
        <v>956</v>
      </c>
      <c r="G30" t="s">
        <v>957</v>
      </c>
      <c r="H30" t="s">
        <v>958</v>
      </c>
      <c r="I30" t="str">
        <f t="shared" si="7"/>
        <v>71.03 mi</v>
      </c>
      <c r="J30">
        <f t="shared" si="1"/>
        <v>7</v>
      </c>
      <c r="K30" t="str">
        <f t="shared" si="5"/>
        <v>71.03 </v>
      </c>
      <c r="L30">
        <f t="shared" si="3"/>
        <v>293.97</v>
      </c>
      <c r="M30" t="str">
        <f t="shared" si="6"/>
        <v> QL</v>
      </c>
    </row>
    <row r="31" spans="1:13" ht="15">
      <c r="A31" t="s">
        <v>959</v>
      </c>
      <c r="B31" t="s">
        <v>1641</v>
      </c>
      <c r="C31" t="s">
        <v>960</v>
      </c>
      <c r="D31" t="s">
        <v>1663</v>
      </c>
      <c r="E31" t="s">
        <v>961</v>
      </c>
      <c r="F31" t="s">
        <v>962</v>
      </c>
      <c r="G31" t="s">
        <v>963</v>
      </c>
      <c r="H31" t="s">
        <v>2133</v>
      </c>
      <c r="I31" t="str">
        <f t="shared" si="7"/>
        <v>72.52 mi</v>
      </c>
      <c r="J31">
        <f t="shared" si="1"/>
        <v>7</v>
      </c>
      <c r="K31" t="str">
        <f t="shared" si="5"/>
        <v>72.52 </v>
      </c>
      <c r="L31">
        <f t="shared" si="3"/>
        <v>295.46</v>
      </c>
      <c r="M31" t="str">
        <f t="shared" si="6"/>
        <v> R</v>
      </c>
    </row>
    <row r="32" spans="1:13" ht="15">
      <c r="A32" t="s">
        <v>964</v>
      </c>
      <c r="B32" t="s">
        <v>1644</v>
      </c>
      <c r="C32" t="s">
        <v>965</v>
      </c>
      <c r="D32" t="s">
        <v>1282</v>
      </c>
      <c r="E32" t="s">
        <v>3286</v>
      </c>
      <c r="F32" t="s">
        <v>3287</v>
      </c>
      <c r="G32" t="s">
        <v>3288</v>
      </c>
      <c r="H32" t="s">
        <v>2138</v>
      </c>
      <c r="I32" t="str">
        <f t="shared" si="7"/>
        <v>72.59 mi</v>
      </c>
      <c r="J32">
        <f t="shared" si="1"/>
        <v>7</v>
      </c>
      <c r="K32" t="str">
        <f t="shared" si="5"/>
        <v>72.59 </v>
      </c>
      <c r="L32">
        <f t="shared" si="3"/>
        <v>295.53</v>
      </c>
      <c r="M32" t="str">
        <f t="shared" si="6"/>
        <v> L</v>
      </c>
    </row>
    <row r="33" spans="1:13" ht="15">
      <c r="A33" t="s">
        <v>3289</v>
      </c>
      <c r="B33" t="s">
        <v>1631</v>
      </c>
      <c r="C33" t="s">
        <v>3290</v>
      </c>
      <c r="D33" t="s">
        <v>3291</v>
      </c>
      <c r="E33" t="s">
        <v>3292</v>
      </c>
      <c r="F33" t="s">
        <v>3293</v>
      </c>
      <c r="G33" t="s">
        <v>2137</v>
      </c>
      <c r="H33" t="s">
        <v>2138</v>
      </c>
      <c r="I33" t="str">
        <f t="shared" si="7"/>
        <v>73.02 mi</v>
      </c>
      <c r="J33">
        <f t="shared" si="1"/>
        <v>7</v>
      </c>
      <c r="K33" t="str">
        <f t="shared" si="5"/>
        <v>73.02 </v>
      </c>
      <c r="L33">
        <f t="shared" si="3"/>
        <v>295.96</v>
      </c>
      <c r="M33" t="str">
        <f t="shared" si="6"/>
        <v> Straight</v>
      </c>
    </row>
    <row r="34" spans="1:13" ht="15">
      <c r="A34" t="s">
        <v>3294</v>
      </c>
      <c r="B34" t="s">
        <v>1647</v>
      </c>
      <c r="C34" t="s">
        <v>3295</v>
      </c>
      <c r="D34" t="s">
        <v>3296</v>
      </c>
      <c r="E34" t="s">
        <v>3297</v>
      </c>
      <c r="F34" t="s">
        <v>3298</v>
      </c>
      <c r="G34" t="s">
        <v>3299</v>
      </c>
      <c r="H34" t="s">
        <v>3300</v>
      </c>
      <c r="I34" t="str">
        <f t="shared" si="7"/>
        <v>74.75 mi</v>
      </c>
      <c r="J34">
        <f t="shared" si="1"/>
        <v>7</v>
      </c>
      <c r="K34" t="str">
        <f t="shared" si="5"/>
        <v>74.75 </v>
      </c>
      <c r="L34">
        <f t="shared" si="3"/>
        <v>297.69</v>
      </c>
      <c r="M34" t="str">
        <f t="shared" si="6"/>
        <v> T L</v>
      </c>
    </row>
    <row r="35" spans="1:13" ht="15">
      <c r="A35" t="s">
        <v>3301</v>
      </c>
      <c r="B35" t="s">
        <v>1641</v>
      </c>
      <c r="C35" t="s">
        <v>3266</v>
      </c>
      <c r="D35" t="s">
        <v>3267</v>
      </c>
      <c r="E35" t="s">
        <v>3268</v>
      </c>
      <c r="F35" t="s">
        <v>3269</v>
      </c>
      <c r="G35" t="s">
        <v>3270</v>
      </c>
      <c r="H35" t="s">
        <v>3271</v>
      </c>
      <c r="I35" t="str">
        <f t="shared" si="7"/>
        <v>76.57 mi</v>
      </c>
      <c r="J35">
        <f t="shared" si="1"/>
        <v>7</v>
      </c>
      <c r="K35" t="str">
        <f t="shared" si="5"/>
        <v>76.57 </v>
      </c>
      <c r="L35">
        <f t="shared" si="3"/>
        <v>299.51</v>
      </c>
      <c r="M35" t="str">
        <f t="shared" si="6"/>
        <v> R</v>
      </c>
    </row>
    <row r="36" spans="1:13" ht="15">
      <c r="A36" t="s">
        <v>3272</v>
      </c>
      <c r="B36" t="s">
        <v>252</v>
      </c>
      <c r="C36" t="s">
        <v>3273</v>
      </c>
      <c r="D36" t="s">
        <v>3274</v>
      </c>
      <c r="E36" t="s">
        <v>3275</v>
      </c>
      <c r="F36" t="s">
        <v>3276</v>
      </c>
      <c r="G36" t="s">
        <v>3277</v>
      </c>
      <c r="H36" t="s">
        <v>3278</v>
      </c>
      <c r="I36" t="str">
        <f t="shared" si="7"/>
        <v>81.78 mi</v>
      </c>
      <c r="J36">
        <f t="shared" si="1"/>
        <v>7</v>
      </c>
      <c r="K36" t="str">
        <f t="shared" si="5"/>
        <v>81.78 </v>
      </c>
      <c r="L36">
        <f t="shared" si="3"/>
        <v>304.72</v>
      </c>
      <c r="M36" t="str">
        <f t="shared" si="6"/>
        <v> ***L</v>
      </c>
    </row>
    <row r="37" spans="1:13" ht="15">
      <c r="A37" t="s">
        <v>3279</v>
      </c>
      <c r="B37" t="s">
        <v>1641</v>
      </c>
      <c r="C37" t="s">
        <v>3280</v>
      </c>
      <c r="D37" t="s">
        <v>2473</v>
      </c>
      <c r="E37" t="s">
        <v>3281</v>
      </c>
      <c r="F37" t="s">
        <v>3282</v>
      </c>
      <c r="G37" t="s">
        <v>3283</v>
      </c>
      <c r="H37" t="s">
        <v>3284</v>
      </c>
      <c r="I37" t="str">
        <f t="shared" si="7"/>
        <v>98.05 mi</v>
      </c>
      <c r="J37">
        <f t="shared" si="1"/>
        <v>7</v>
      </c>
      <c r="K37" t="str">
        <f t="shared" si="5"/>
        <v>98.05 </v>
      </c>
      <c r="L37">
        <f t="shared" si="3"/>
        <v>320.99</v>
      </c>
      <c r="M37" t="str">
        <f t="shared" si="6"/>
        <v> R</v>
      </c>
    </row>
    <row r="38" spans="1:13" ht="15">
      <c r="A38" t="s">
        <v>586</v>
      </c>
      <c r="B38" t="s">
        <v>1669</v>
      </c>
      <c r="C38" t="s">
        <v>587</v>
      </c>
      <c r="D38" t="s">
        <v>1622</v>
      </c>
      <c r="E38" t="s">
        <v>588</v>
      </c>
      <c r="F38" t="s">
        <v>589</v>
      </c>
      <c r="G38" t="s">
        <v>2139</v>
      </c>
      <c r="H38" t="s">
        <v>2140</v>
      </c>
      <c r="I38" t="str">
        <f t="shared" si="7"/>
        <v>98.47 mi</v>
      </c>
      <c r="J38">
        <f t="shared" si="1"/>
        <v>7</v>
      </c>
      <c r="K38" t="str">
        <f t="shared" si="5"/>
        <v>98.47 </v>
      </c>
      <c r="L38">
        <f t="shared" si="3"/>
        <v>321.40999999999997</v>
      </c>
      <c r="M38" t="str">
        <f t="shared" si="6"/>
        <v> STOP</v>
      </c>
    </row>
    <row r="39" spans="1:13" ht="15">
      <c r="A39" t="s">
        <v>590</v>
      </c>
      <c r="B39" t="s">
        <v>1616</v>
      </c>
      <c r="C39" t="s">
        <v>591</v>
      </c>
      <c r="D39" t="s">
        <v>1664</v>
      </c>
      <c r="E39" t="s">
        <v>592</v>
      </c>
      <c r="F39" t="s">
        <v>593</v>
      </c>
      <c r="G39" t="s">
        <v>2139</v>
      </c>
      <c r="H39" t="s">
        <v>2141</v>
      </c>
      <c r="I39" t="str">
        <f t="shared" si="7"/>
        <v>98.48 mi</v>
      </c>
      <c r="J39">
        <f t="shared" si="1"/>
        <v>7</v>
      </c>
      <c r="K39" t="str">
        <f t="shared" si="5"/>
        <v>98.48 </v>
      </c>
      <c r="L39">
        <f t="shared" si="3"/>
        <v>321.42</v>
      </c>
      <c r="M39" t="str">
        <f t="shared" si="6"/>
        <v> Turn</v>
      </c>
    </row>
    <row r="40" spans="1:13" ht="15">
      <c r="A40" t="s">
        <v>594</v>
      </c>
      <c r="B40" t="s">
        <v>1647</v>
      </c>
      <c r="C40" t="s">
        <v>595</v>
      </c>
      <c r="D40" t="s">
        <v>596</v>
      </c>
      <c r="E40" t="s">
        <v>597</v>
      </c>
      <c r="F40" t="s">
        <v>2142</v>
      </c>
      <c r="G40" t="s">
        <v>2143</v>
      </c>
      <c r="H40" t="s">
        <v>2144</v>
      </c>
      <c r="I40" t="str">
        <f t="shared" si="7"/>
        <v>98.61 mi</v>
      </c>
      <c r="J40">
        <f t="shared" si="1"/>
        <v>7</v>
      </c>
      <c r="K40" t="str">
        <f t="shared" si="5"/>
        <v>98.61 </v>
      </c>
      <c r="L40">
        <f t="shared" si="3"/>
        <v>321.55</v>
      </c>
      <c r="M40" t="str">
        <f t="shared" si="6"/>
        <v> T L</v>
      </c>
    </row>
    <row r="41" spans="1:13" ht="15">
      <c r="A41" t="s">
        <v>598</v>
      </c>
      <c r="B41" t="s">
        <v>1641</v>
      </c>
      <c r="C41" t="s">
        <v>2145</v>
      </c>
      <c r="D41" t="s">
        <v>599</v>
      </c>
      <c r="E41" t="s">
        <v>600</v>
      </c>
      <c r="F41" t="s">
        <v>601</v>
      </c>
      <c r="G41" t="s">
        <v>2146</v>
      </c>
      <c r="H41" t="s">
        <v>2147</v>
      </c>
      <c r="I41" t="str">
        <f t="shared" si="7"/>
        <v>100.14 mi</v>
      </c>
      <c r="J41">
        <f t="shared" si="1"/>
        <v>8</v>
      </c>
      <c r="K41" t="str">
        <f t="shared" si="5"/>
        <v>100.14 </v>
      </c>
      <c r="L41">
        <f t="shared" si="3"/>
        <v>323.08</v>
      </c>
      <c r="M41" t="str">
        <f t="shared" si="6"/>
        <v> R</v>
      </c>
    </row>
    <row r="42" spans="1:13" ht="15">
      <c r="A42" t="s">
        <v>2148</v>
      </c>
      <c r="B42" t="s">
        <v>1621</v>
      </c>
      <c r="C42" t="s">
        <v>602</v>
      </c>
      <c r="D42" t="s">
        <v>603</v>
      </c>
      <c r="E42" t="s">
        <v>604</v>
      </c>
      <c r="F42" t="s">
        <v>605</v>
      </c>
      <c r="G42" t="s">
        <v>606</v>
      </c>
      <c r="H42" t="s">
        <v>607</v>
      </c>
      <c r="I42" t="str">
        <f t="shared" si="7"/>
        <v>103.47 mi</v>
      </c>
      <c r="J42">
        <f t="shared" si="1"/>
        <v>8</v>
      </c>
      <c r="K42" t="str">
        <f t="shared" si="5"/>
        <v>103.47 </v>
      </c>
      <c r="L42">
        <f t="shared" si="3"/>
        <v>326.40999999999997</v>
      </c>
      <c r="M42" t="str">
        <f t="shared" si="6"/>
        <v> B L</v>
      </c>
    </row>
    <row r="43" spans="1:13" ht="15">
      <c r="A43" t="s">
        <v>608</v>
      </c>
      <c r="B43" t="s">
        <v>1646</v>
      </c>
      <c r="C43" t="s">
        <v>609</v>
      </c>
      <c r="D43" t="s">
        <v>610</v>
      </c>
      <c r="E43" t="s">
        <v>611</v>
      </c>
      <c r="F43" t="s">
        <v>2149</v>
      </c>
      <c r="G43" t="s">
        <v>2150</v>
      </c>
      <c r="H43" t="s">
        <v>2151</v>
      </c>
      <c r="I43" t="str">
        <f t="shared" si="7"/>
        <v>106.40 mi</v>
      </c>
      <c r="J43">
        <f t="shared" si="1"/>
        <v>8</v>
      </c>
      <c r="K43" t="str">
        <f t="shared" si="5"/>
        <v>106.40 </v>
      </c>
      <c r="L43">
        <f t="shared" si="3"/>
        <v>329.34000000000003</v>
      </c>
      <c r="M43" t="str">
        <f t="shared" si="6"/>
        <v> X</v>
      </c>
    </row>
    <row r="44" spans="1:13" ht="15">
      <c r="A44" t="s">
        <v>612</v>
      </c>
      <c r="B44" t="s">
        <v>1621</v>
      </c>
      <c r="C44" t="s">
        <v>2152</v>
      </c>
      <c r="D44" t="s">
        <v>1665</v>
      </c>
      <c r="E44" t="s">
        <v>613</v>
      </c>
      <c r="F44" t="s">
        <v>2153</v>
      </c>
      <c r="G44" t="s">
        <v>2154</v>
      </c>
      <c r="H44" t="s">
        <v>2155</v>
      </c>
      <c r="I44" t="str">
        <f t="shared" si="7"/>
        <v>114.24 mi</v>
      </c>
      <c r="J44">
        <f t="shared" si="1"/>
        <v>8</v>
      </c>
      <c r="K44" t="str">
        <f t="shared" si="5"/>
        <v>114.24 </v>
      </c>
      <c r="L44">
        <f t="shared" si="3"/>
        <v>337.18</v>
      </c>
      <c r="M44" t="str">
        <f t="shared" si="6"/>
        <v> B L</v>
      </c>
    </row>
    <row r="45" spans="1:13" ht="15">
      <c r="A45" t="s">
        <v>2156</v>
      </c>
      <c r="B45" t="s">
        <v>1647</v>
      </c>
      <c r="C45" t="s">
        <v>614</v>
      </c>
      <c r="D45" t="s">
        <v>2473</v>
      </c>
      <c r="E45" t="s">
        <v>615</v>
      </c>
      <c r="F45" t="s">
        <v>2157</v>
      </c>
      <c r="G45" t="s">
        <v>2158</v>
      </c>
      <c r="H45" t="s">
        <v>2159</v>
      </c>
      <c r="I45" t="str">
        <f aca="true" t="shared" si="8" ref="I45:I51">TRIM(E45)</f>
        <v>114.63 mi</v>
      </c>
      <c r="J45">
        <f t="shared" si="1"/>
        <v>8</v>
      </c>
      <c r="K45" t="str">
        <f aca="true" t="shared" si="9" ref="K45:K51">LEFT(I45,J45-1)</f>
        <v>114.63 </v>
      </c>
      <c r="L45">
        <f t="shared" si="3"/>
        <v>337.57</v>
      </c>
      <c r="M45" t="str">
        <f aca="true" t="shared" si="10" ref="M45:M51">IF(B45&lt;&gt;" ???",B45,$M$1)</f>
        <v> T L</v>
      </c>
    </row>
    <row r="46" spans="1:13" ht="15">
      <c r="A46" t="s">
        <v>616</v>
      </c>
      <c r="B46" t="s">
        <v>1631</v>
      </c>
      <c r="C46" t="s">
        <v>2160</v>
      </c>
      <c r="D46" t="s">
        <v>617</v>
      </c>
      <c r="E46" t="s">
        <v>618</v>
      </c>
      <c r="F46" t="s">
        <v>2161</v>
      </c>
      <c r="G46" t="s">
        <v>2162</v>
      </c>
      <c r="H46" t="s">
        <v>2163</v>
      </c>
      <c r="I46" t="str">
        <f t="shared" si="8"/>
        <v>115.05 mi</v>
      </c>
      <c r="J46">
        <f t="shared" si="1"/>
        <v>8</v>
      </c>
      <c r="K46" t="str">
        <f t="shared" si="9"/>
        <v>115.05 </v>
      </c>
      <c r="L46">
        <f t="shared" si="3"/>
        <v>337.99</v>
      </c>
      <c r="M46" t="str">
        <f t="shared" si="10"/>
        <v> Straight</v>
      </c>
    </row>
    <row r="47" spans="1:13" ht="15">
      <c r="A47" t="s">
        <v>2164</v>
      </c>
      <c r="B47" t="s">
        <v>1650</v>
      </c>
      <c r="C47" t="s">
        <v>2165</v>
      </c>
      <c r="D47" t="s">
        <v>619</v>
      </c>
      <c r="E47" t="s">
        <v>620</v>
      </c>
      <c r="F47" t="s">
        <v>2166</v>
      </c>
      <c r="G47" t="s">
        <v>2167</v>
      </c>
      <c r="H47" t="s">
        <v>2168</v>
      </c>
      <c r="I47" t="str">
        <f t="shared" si="8"/>
        <v>120.46 mi</v>
      </c>
      <c r="J47">
        <f t="shared" si="1"/>
        <v>8</v>
      </c>
      <c r="K47" t="str">
        <f t="shared" si="9"/>
        <v>120.46 </v>
      </c>
      <c r="L47">
        <f t="shared" si="3"/>
        <v>343.4</v>
      </c>
      <c r="M47" t="str">
        <f t="shared" si="10"/>
        <v> Pass</v>
      </c>
    </row>
    <row r="48" spans="1:13" ht="15">
      <c r="A48" t="s">
        <v>2169</v>
      </c>
      <c r="B48" t="s">
        <v>1647</v>
      </c>
      <c r="C48" t="s">
        <v>621</v>
      </c>
      <c r="D48" t="s">
        <v>1305</v>
      </c>
      <c r="E48" t="s">
        <v>622</v>
      </c>
      <c r="F48" t="s">
        <v>2170</v>
      </c>
      <c r="G48" t="s">
        <v>2171</v>
      </c>
      <c r="H48" t="s">
        <v>2018</v>
      </c>
      <c r="I48" t="str">
        <f t="shared" si="8"/>
        <v>128.68 mi</v>
      </c>
      <c r="J48">
        <f t="shared" si="1"/>
        <v>8</v>
      </c>
      <c r="K48" t="str">
        <f t="shared" si="9"/>
        <v>128.68 </v>
      </c>
      <c r="L48">
        <f t="shared" si="3"/>
        <v>351.62</v>
      </c>
      <c r="M48" t="str">
        <f t="shared" si="10"/>
        <v> T L</v>
      </c>
    </row>
    <row r="49" spans="1:13" ht="15">
      <c r="A49" t="s">
        <v>623</v>
      </c>
      <c r="B49" t="s">
        <v>1651</v>
      </c>
      <c r="C49" t="s">
        <v>624</v>
      </c>
      <c r="D49" t="s">
        <v>2426</v>
      </c>
      <c r="E49" t="s">
        <v>625</v>
      </c>
      <c r="F49" t="s">
        <v>2019</v>
      </c>
      <c r="G49" t="s">
        <v>2020</v>
      </c>
      <c r="H49" t="s">
        <v>2021</v>
      </c>
      <c r="I49" t="str">
        <f t="shared" si="8"/>
        <v>129.75 mi</v>
      </c>
      <c r="J49">
        <f t="shared" si="1"/>
        <v>8</v>
      </c>
      <c r="K49" t="str">
        <f t="shared" si="9"/>
        <v>129.75 </v>
      </c>
      <c r="L49">
        <f t="shared" si="3"/>
        <v>352.69</v>
      </c>
      <c r="M49" t="str">
        <f t="shared" si="10"/>
        <v> 1st R</v>
      </c>
    </row>
    <row r="50" spans="1:13" ht="15">
      <c r="A50" t="s">
        <v>626</v>
      </c>
      <c r="B50" t="s">
        <v>1643</v>
      </c>
      <c r="C50" t="s">
        <v>627</v>
      </c>
      <c r="D50" t="s">
        <v>628</v>
      </c>
      <c r="E50" t="s">
        <v>629</v>
      </c>
      <c r="F50" t="s">
        <v>630</v>
      </c>
      <c r="G50" t="s">
        <v>2023</v>
      </c>
      <c r="H50" t="s">
        <v>2024</v>
      </c>
      <c r="I50" t="str">
        <f t="shared" si="8"/>
        <v>130.20 mi</v>
      </c>
      <c r="J50">
        <f t="shared" si="1"/>
        <v>8</v>
      </c>
      <c r="K50" t="str">
        <f t="shared" si="9"/>
        <v>130.20 </v>
      </c>
      <c r="L50">
        <f t="shared" si="3"/>
        <v>353.14</v>
      </c>
      <c r="M50" t="str">
        <f t="shared" si="10"/>
        <v> 1st L</v>
      </c>
    </row>
    <row r="51" spans="1:13" ht="15">
      <c r="A51" t="s">
        <v>631</v>
      </c>
      <c r="B51" t="s">
        <v>1650</v>
      </c>
      <c r="C51" t="s">
        <v>2022</v>
      </c>
      <c r="D51" t="s">
        <v>2247</v>
      </c>
      <c r="E51" t="s">
        <v>632</v>
      </c>
      <c r="F51" t="s">
        <v>633</v>
      </c>
      <c r="G51" t="s">
        <v>634</v>
      </c>
      <c r="H51" t="s">
        <v>635</v>
      </c>
      <c r="I51" t="str">
        <f t="shared" si="8"/>
        <v>138.75 mi</v>
      </c>
      <c r="J51">
        <f t="shared" si="1"/>
        <v>8</v>
      </c>
      <c r="K51" t="str">
        <f t="shared" si="9"/>
        <v>138.75 </v>
      </c>
      <c r="L51">
        <f t="shared" si="3"/>
        <v>361.69</v>
      </c>
      <c r="M51" t="str">
        <f t="shared" si="10"/>
        <v> Pass</v>
      </c>
    </row>
    <row r="52" spans="1:13" ht="15">
      <c r="A52" t="s">
        <v>2025</v>
      </c>
      <c r="B52" t="s">
        <v>1648</v>
      </c>
      <c r="C52" t="s">
        <v>636</v>
      </c>
      <c r="D52" t="s">
        <v>1652</v>
      </c>
      <c r="E52" t="s">
        <v>637</v>
      </c>
      <c r="F52" t="s">
        <v>638</v>
      </c>
      <c r="G52" t="s">
        <v>2026</v>
      </c>
      <c r="H52" t="s">
        <v>2027</v>
      </c>
      <c r="I52" t="str">
        <f>TRIM(E52)</f>
        <v>141.38 mi</v>
      </c>
      <c r="J52">
        <f t="shared" si="1"/>
        <v>8</v>
      </c>
      <c r="K52" t="str">
        <f>LEFT(I52,J52-1)</f>
        <v>141.38 </v>
      </c>
      <c r="L52">
        <f t="shared" si="3"/>
        <v>364.32</v>
      </c>
      <c r="M52" t="str">
        <f>IF(B52&lt;&gt;" ???",B52,$M$1)</f>
        <v> T R</v>
      </c>
    </row>
    <row r="53" spans="1:13" ht="15">
      <c r="A53" t="s">
        <v>639</v>
      </c>
      <c r="B53" t="s">
        <v>1669</v>
      </c>
      <c r="C53" t="s">
        <v>640</v>
      </c>
      <c r="D53" t="s">
        <v>2472</v>
      </c>
      <c r="E53" t="s">
        <v>641</v>
      </c>
      <c r="F53" t="s">
        <v>642</v>
      </c>
      <c r="G53" t="s">
        <v>2026</v>
      </c>
      <c r="H53" t="s">
        <v>643</v>
      </c>
      <c r="I53" t="str">
        <f aca="true" t="shared" si="11" ref="I53:I84">TRIM(E53)</f>
        <v>141.52 mi</v>
      </c>
      <c r="J53">
        <f t="shared" si="1"/>
        <v>8</v>
      </c>
      <c r="K53" t="str">
        <f aca="true" t="shared" si="12" ref="K53:K84">LEFT(I53,J53-1)</f>
        <v>141.52 </v>
      </c>
      <c r="L53">
        <f t="shared" si="3"/>
        <v>364.46000000000004</v>
      </c>
      <c r="M53" t="str">
        <f aca="true" t="shared" si="13" ref="M53:M84">IF(B53&lt;&gt;" ???",B53,$M$1)</f>
        <v> STOP</v>
      </c>
    </row>
    <row r="54" spans="1:13" ht="15">
      <c r="A54" t="s">
        <v>644</v>
      </c>
      <c r="B54" t="s">
        <v>2471</v>
      </c>
      <c r="C54" t="s">
        <v>645</v>
      </c>
      <c r="D54" t="s">
        <v>646</v>
      </c>
      <c r="E54" t="s">
        <v>647</v>
      </c>
      <c r="F54" t="s">
        <v>648</v>
      </c>
      <c r="G54" t="s">
        <v>649</v>
      </c>
      <c r="H54" t="s">
        <v>643</v>
      </c>
      <c r="I54" t="str">
        <f t="shared" si="11"/>
        <v>141.58 mi</v>
      </c>
      <c r="J54">
        <f t="shared" si="1"/>
        <v>8</v>
      </c>
      <c r="K54" t="str">
        <f t="shared" si="12"/>
        <v>141.58 </v>
      </c>
      <c r="L54">
        <f t="shared" si="3"/>
        <v>364.52</v>
      </c>
      <c r="M54" t="str">
        <f t="shared" si="13"/>
        <v> Backtrack</v>
      </c>
    </row>
    <row r="55" spans="1:13" ht="15">
      <c r="A55" t="s">
        <v>650</v>
      </c>
      <c r="B55" t="s">
        <v>1646</v>
      </c>
      <c r="C55" t="s">
        <v>651</v>
      </c>
      <c r="D55" t="s">
        <v>2480</v>
      </c>
      <c r="E55" t="s">
        <v>652</v>
      </c>
      <c r="F55" t="s">
        <v>653</v>
      </c>
      <c r="G55" t="s">
        <v>654</v>
      </c>
      <c r="H55" t="s">
        <v>655</v>
      </c>
      <c r="I55" t="str">
        <f t="shared" si="11"/>
        <v>152.33 mi</v>
      </c>
      <c r="J55">
        <f t="shared" si="1"/>
        <v>8</v>
      </c>
      <c r="K55" t="str">
        <f t="shared" si="12"/>
        <v>152.33 </v>
      </c>
      <c r="L55">
        <f t="shared" si="3"/>
        <v>375.27</v>
      </c>
      <c r="M55" t="str">
        <f t="shared" si="13"/>
        <v> X</v>
      </c>
    </row>
    <row r="56" spans="1:13" ht="15">
      <c r="A56" t="s">
        <v>656</v>
      </c>
      <c r="B56" t="s">
        <v>1641</v>
      </c>
      <c r="C56" t="s">
        <v>657</v>
      </c>
      <c r="D56" t="s">
        <v>2001</v>
      </c>
      <c r="E56" t="s">
        <v>658</v>
      </c>
      <c r="F56" t="s">
        <v>659</v>
      </c>
      <c r="G56" t="s">
        <v>660</v>
      </c>
      <c r="H56" t="s">
        <v>661</v>
      </c>
      <c r="I56" t="str">
        <f t="shared" si="11"/>
        <v>152.52 mi</v>
      </c>
      <c r="J56">
        <f t="shared" si="1"/>
        <v>8</v>
      </c>
      <c r="K56" t="str">
        <f t="shared" si="12"/>
        <v>152.52 </v>
      </c>
      <c r="L56">
        <f t="shared" si="3"/>
        <v>375.46000000000004</v>
      </c>
      <c r="M56" t="str">
        <f t="shared" si="13"/>
        <v> R</v>
      </c>
    </row>
    <row r="57" spans="1:13" ht="15">
      <c r="A57" t="s">
        <v>3379</v>
      </c>
      <c r="B57" t="s">
        <v>1621</v>
      </c>
      <c r="C57" t="s">
        <v>3380</v>
      </c>
      <c r="D57" t="s">
        <v>3381</v>
      </c>
      <c r="E57" t="s">
        <v>3382</v>
      </c>
      <c r="F57" t="s">
        <v>3383</v>
      </c>
      <c r="G57" t="s">
        <v>3384</v>
      </c>
      <c r="H57" t="s">
        <v>3385</v>
      </c>
      <c r="I57" t="str">
        <f t="shared" si="11"/>
        <v>153.98 mi</v>
      </c>
      <c r="J57">
        <f t="shared" si="1"/>
        <v>8</v>
      </c>
      <c r="K57" t="str">
        <f t="shared" si="12"/>
        <v>153.98 </v>
      </c>
      <c r="L57">
        <f t="shared" si="3"/>
        <v>376.91999999999996</v>
      </c>
      <c r="M57" t="str">
        <f t="shared" si="13"/>
        <v> B L</v>
      </c>
    </row>
    <row r="58" spans="1:13" ht="15">
      <c r="A58" t="s">
        <v>3386</v>
      </c>
      <c r="B58" t="s">
        <v>252</v>
      </c>
      <c r="C58" t="s">
        <v>1042</v>
      </c>
      <c r="D58" t="s">
        <v>1043</v>
      </c>
      <c r="E58" t="s">
        <v>1044</v>
      </c>
      <c r="F58" t="s">
        <v>1045</v>
      </c>
      <c r="G58" t="s">
        <v>1046</v>
      </c>
      <c r="H58" t="s">
        <v>1047</v>
      </c>
      <c r="I58" t="str">
        <f t="shared" si="11"/>
        <v>155.35 mi</v>
      </c>
      <c r="J58">
        <f t="shared" si="1"/>
        <v>8</v>
      </c>
      <c r="K58" t="str">
        <f t="shared" si="12"/>
        <v>155.35 </v>
      </c>
      <c r="L58">
        <f t="shared" si="3"/>
        <v>378.28999999999996</v>
      </c>
      <c r="M58" t="str">
        <f t="shared" si="13"/>
        <v> ***L</v>
      </c>
    </row>
    <row r="59" spans="1:13" ht="15">
      <c r="A59" t="s">
        <v>1048</v>
      </c>
      <c r="B59" t="s">
        <v>1646</v>
      </c>
      <c r="C59" t="s">
        <v>1049</v>
      </c>
      <c r="D59" t="s">
        <v>1050</v>
      </c>
      <c r="E59" t="s">
        <v>1051</v>
      </c>
      <c r="F59" t="s">
        <v>1052</v>
      </c>
      <c r="G59" t="s">
        <v>1053</v>
      </c>
      <c r="H59" t="s">
        <v>1054</v>
      </c>
      <c r="I59" t="str">
        <f t="shared" si="11"/>
        <v>160.14 mi</v>
      </c>
      <c r="J59">
        <f t="shared" si="1"/>
        <v>8</v>
      </c>
      <c r="K59" t="str">
        <f t="shared" si="12"/>
        <v>160.14 </v>
      </c>
      <c r="L59">
        <f t="shared" si="3"/>
        <v>383.08</v>
      </c>
      <c r="M59" t="str">
        <f t="shared" si="13"/>
        <v> X</v>
      </c>
    </row>
    <row r="60" spans="1:13" ht="15">
      <c r="A60" t="s">
        <v>1055</v>
      </c>
      <c r="B60" t="s">
        <v>1646</v>
      </c>
      <c r="C60" t="s">
        <v>1056</v>
      </c>
      <c r="D60" t="s">
        <v>3527</v>
      </c>
      <c r="E60" t="s">
        <v>1057</v>
      </c>
      <c r="F60" t="s">
        <v>2203</v>
      </c>
      <c r="G60" t="s">
        <v>2204</v>
      </c>
      <c r="H60" t="s">
        <v>2205</v>
      </c>
      <c r="I60" t="str">
        <f t="shared" si="11"/>
        <v>161.57 mi</v>
      </c>
      <c r="J60">
        <f t="shared" si="1"/>
        <v>8</v>
      </c>
      <c r="K60" t="str">
        <f t="shared" si="12"/>
        <v>161.57 </v>
      </c>
      <c r="L60">
        <f t="shared" si="3"/>
        <v>384.51</v>
      </c>
      <c r="M60" t="str">
        <f t="shared" si="13"/>
        <v> X</v>
      </c>
    </row>
    <row r="61" spans="1:13" ht="15">
      <c r="A61" t="s">
        <v>1058</v>
      </c>
      <c r="B61" t="s">
        <v>1641</v>
      </c>
      <c r="C61" t="s">
        <v>1059</v>
      </c>
      <c r="D61" t="s">
        <v>1665</v>
      </c>
      <c r="E61" t="s">
        <v>1060</v>
      </c>
      <c r="F61" t="s">
        <v>2206</v>
      </c>
      <c r="G61" t="s">
        <v>2207</v>
      </c>
      <c r="H61" t="s">
        <v>2208</v>
      </c>
      <c r="I61" t="str">
        <f t="shared" si="11"/>
        <v>162.62 mi</v>
      </c>
      <c r="J61">
        <f t="shared" si="1"/>
        <v>8</v>
      </c>
      <c r="K61" t="str">
        <f t="shared" si="12"/>
        <v>162.62 </v>
      </c>
      <c r="L61">
        <f t="shared" si="3"/>
        <v>385.56</v>
      </c>
      <c r="M61" t="str">
        <f t="shared" si="13"/>
        <v> R</v>
      </c>
    </row>
    <row r="62" spans="1:13" ht="15">
      <c r="A62" t="s">
        <v>1061</v>
      </c>
      <c r="B62" t="s">
        <v>1644</v>
      </c>
      <c r="C62" t="s">
        <v>1062</v>
      </c>
      <c r="D62" t="s">
        <v>1698</v>
      </c>
      <c r="E62" t="s">
        <v>1063</v>
      </c>
      <c r="F62" t="s">
        <v>2209</v>
      </c>
      <c r="G62" t="s">
        <v>2210</v>
      </c>
      <c r="H62" t="s">
        <v>2211</v>
      </c>
      <c r="I62" t="str">
        <f t="shared" si="11"/>
        <v>163.01 mi</v>
      </c>
      <c r="J62">
        <f t="shared" si="1"/>
        <v>8</v>
      </c>
      <c r="K62" t="str">
        <f t="shared" si="12"/>
        <v>163.01 </v>
      </c>
      <c r="L62">
        <f t="shared" si="3"/>
        <v>385.95</v>
      </c>
      <c r="M62" t="str">
        <f t="shared" si="13"/>
        <v> L</v>
      </c>
    </row>
    <row r="63" spans="1:13" ht="15">
      <c r="A63" t="s">
        <v>1064</v>
      </c>
      <c r="B63" t="s">
        <v>1647</v>
      </c>
      <c r="C63" t="s">
        <v>2212</v>
      </c>
      <c r="D63" t="s">
        <v>2213</v>
      </c>
      <c r="E63" t="s">
        <v>1065</v>
      </c>
      <c r="F63" t="s">
        <v>2214</v>
      </c>
      <c r="G63" t="s">
        <v>2215</v>
      </c>
      <c r="H63" t="s">
        <v>2216</v>
      </c>
      <c r="I63" t="str">
        <f t="shared" si="11"/>
        <v>166.50 mi</v>
      </c>
      <c r="J63">
        <f t="shared" si="1"/>
        <v>8</v>
      </c>
      <c r="K63" t="str">
        <f t="shared" si="12"/>
        <v>166.50 </v>
      </c>
      <c r="L63">
        <f t="shared" si="3"/>
        <v>389.44</v>
      </c>
      <c r="M63" t="str">
        <f t="shared" si="13"/>
        <v> T L</v>
      </c>
    </row>
    <row r="64" spans="1:13" ht="15">
      <c r="A64" t="s">
        <v>2217</v>
      </c>
      <c r="B64" t="s">
        <v>3533</v>
      </c>
      <c r="C64" t="s">
        <v>1066</v>
      </c>
      <c r="D64" t="s">
        <v>2218</v>
      </c>
      <c r="E64" t="s">
        <v>1067</v>
      </c>
      <c r="F64" t="s">
        <v>2219</v>
      </c>
      <c r="G64" t="s">
        <v>2220</v>
      </c>
      <c r="H64" t="s">
        <v>2221</v>
      </c>
      <c r="I64" t="str">
        <f t="shared" si="11"/>
        <v>166.79 mi</v>
      </c>
      <c r="J64">
        <f t="shared" si="1"/>
        <v>8</v>
      </c>
      <c r="K64" t="str">
        <f t="shared" si="12"/>
        <v>166.79 </v>
      </c>
      <c r="L64">
        <f t="shared" si="3"/>
        <v>389.73</v>
      </c>
      <c r="M64" t="str">
        <f t="shared" si="13"/>
        <v> 2nd R</v>
      </c>
    </row>
    <row r="65" spans="1:13" ht="15">
      <c r="A65" t="s">
        <v>1068</v>
      </c>
      <c r="B65" t="s">
        <v>1648</v>
      </c>
      <c r="C65" t="s">
        <v>2400</v>
      </c>
      <c r="D65" t="s">
        <v>12</v>
      </c>
      <c r="E65" t="s">
        <v>1069</v>
      </c>
      <c r="F65" t="s">
        <v>2222</v>
      </c>
      <c r="G65" t="s">
        <v>2223</v>
      </c>
      <c r="H65" t="s">
        <v>2224</v>
      </c>
      <c r="I65" t="str">
        <f t="shared" si="11"/>
        <v>167.40 mi</v>
      </c>
      <c r="J65">
        <f t="shared" si="1"/>
        <v>8</v>
      </c>
      <c r="K65" t="str">
        <f t="shared" si="12"/>
        <v>167.40 </v>
      </c>
      <c r="L65">
        <f t="shared" si="3"/>
        <v>390.34000000000003</v>
      </c>
      <c r="M65" t="str">
        <f t="shared" si="13"/>
        <v> T R</v>
      </c>
    </row>
    <row r="66" spans="1:13" ht="15">
      <c r="A66" t="s">
        <v>2405</v>
      </c>
      <c r="B66" t="s">
        <v>1646</v>
      </c>
      <c r="C66" t="s">
        <v>2225</v>
      </c>
      <c r="D66" t="s">
        <v>2227</v>
      </c>
      <c r="E66" t="s">
        <v>1070</v>
      </c>
      <c r="F66" t="s">
        <v>2228</v>
      </c>
      <c r="G66" t="s">
        <v>2229</v>
      </c>
      <c r="H66" t="s">
        <v>2230</v>
      </c>
      <c r="I66" t="str">
        <f t="shared" si="11"/>
        <v>167.64 mi</v>
      </c>
      <c r="J66">
        <f aca="true" t="shared" si="14" ref="J66:J84">FIND("mi",I66)</f>
        <v>8</v>
      </c>
      <c r="K66" t="str">
        <f t="shared" si="12"/>
        <v>167.64 </v>
      </c>
      <c r="L66">
        <f aca="true" t="shared" si="15" ref="L66:L84">$L$1+K66</f>
        <v>390.58</v>
      </c>
      <c r="M66" t="str">
        <f t="shared" si="13"/>
        <v> X</v>
      </c>
    </row>
    <row r="67" spans="1:13" ht="15">
      <c r="A67" t="s">
        <v>2231</v>
      </c>
      <c r="B67" t="s">
        <v>1641</v>
      </c>
      <c r="C67" t="s">
        <v>1071</v>
      </c>
      <c r="D67" t="s">
        <v>3571</v>
      </c>
      <c r="E67" t="s">
        <v>1072</v>
      </c>
      <c r="F67" t="s">
        <v>2232</v>
      </c>
      <c r="G67" t="s">
        <v>2233</v>
      </c>
      <c r="H67" t="s">
        <v>2234</v>
      </c>
      <c r="I67" t="str">
        <f t="shared" si="11"/>
        <v>169.61 mi</v>
      </c>
      <c r="J67">
        <f t="shared" si="14"/>
        <v>8</v>
      </c>
      <c r="K67" t="str">
        <f t="shared" si="12"/>
        <v>169.61 </v>
      </c>
      <c r="L67">
        <f t="shared" si="15"/>
        <v>392.55</v>
      </c>
      <c r="M67" t="str">
        <f t="shared" si="13"/>
        <v> R</v>
      </c>
    </row>
    <row r="68" spans="1:13" ht="15">
      <c r="A68" t="s">
        <v>1073</v>
      </c>
      <c r="B68" t="s">
        <v>1645</v>
      </c>
      <c r="C68" t="s">
        <v>1074</v>
      </c>
      <c r="D68" t="s">
        <v>1075</v>
      </c>
      <c r="E68" t="s">
        <v>1076</v>
      </c>
      <c r="F68" t="s">
        <v>1077</v>
      </c>
      <c r="G68" t="s">
        <v>3529</v>
      </c>
      <c r="H68" t="s">
        <v>3530</v>
      </c>
      <c r="I68" t="str">
        <f t="shared" si="11"/>
        <v>172.32 mi</v>
      </c>
      <c r="J68">
        <f t="shared" si="14"/>
        <v>8</v>
      </c>
      <c r="K68" t="str">
        <f t="shared" si="12"/>
        <v>172.32 </v>
      </c>
      <c r="L68">
        <f t="shared" si="15"/>
        <v>395.26</v>
      </c>
      <c r="M68" t="str">
        <f t="shared" si="13"/>
        <v> B R</v>
      </c>
    </row>
    <row r="69" spans="1:13" ht="15">
      <c r="A69" t="s">
        <v>2259</v>
      </c>
      <c r="B69" t="s">
        <v>252</v>
      </c>
      <c r="C69" t="s">
        <v>2260</v>
      </c>
      <c r="D69" t="s">
        <v>1689</v>
      </c>
      <c r="E69" t="s">
        <v>2261</v>
      </c>
      <c r="F69" t="s">
        <v>2262</v>
      </c>
      <c r="G69" t="s">
        <v>2263</v>
      </c>
      <c r="H69" t="s">
        <v>2264</v>
      </c>
      <c r="I69" t="str">
        <f t="shared" si="11"/>
        <v>175.15 mi</v>
      </c>
      <c r="J69">
        <f t="shared" si="14"/>
        <v>8</v>
      </c>
      <c r="K69" t="str">
        <f t="shared" si="12"/>
        <v>175.15 </v>
      </c>
      <c r="L69">
        <f t="shared" si="15"/>
        <v>398.09000000000003</v>
      </c>
      <c r="M69" t="str">
        <f t="shared" si="13"/>
        <v> ***L</v>
      </c>
    </row>
    <row r="70" spans="1:13" ht="15">
      <c r="A70" t="s">
        <v>2839</v>
      </c>
      <c r="B70" t="s">
        <v>1669</v>
      </c>
      <c r="C70" t="s">
        <v>2265</v>
      </c>
      <c r="D70" t="s">
        <v>1622</v>
      </c>
      <c r="E70" t="s">
        <v>2266</v>
      </c>
      <c r="F70" t="s">
        <v>2267</v>
      </c>
      <c r="G70" t="s">
        <v>2268</v>
      </c>
      <c r="H70" t="s">
        <v>2269</v>
      </c>
      <c r="I70" t="str">
        <f t="shared" si="11"/>
        <v>177.85 mi</v>
      </c>
      <c r="J70">
        <f t="shared" si="14"/>
        <v>8</v>
      </c>
      <c r="K70" t="str">
        <f t="shared" si="12"/>
        <v>177.85 </v>
      </c>
      <c r="L70">
        <f t="shared" si="15"/>
        <v>400.78999999999996</v>
      </c>
      <c r="M70" t="str">
        <f t="shared" si="13"/>
        <v> STOP</v>
      </c>
    </row>
    <row r="71" spans="1:13" ht="15">
      <c r="A71" t="s">
        <v>2270</v>
      </c>
      <c r="B71" t="s">
        <v>1616</v>
      </c>
      <c r="C71" t="s">
        <v>2271</v>
      </c>
      <c r="D71" t="s">
        <v>2084</v>
      </c>
      <c r="E71" t="s">
        <v>2272</v>
      </c>
      <c r="F71" t="s">
        <v>2273</v>
      </c>
      <c r="G71" t="s">
        <v>2268</v>
      </c>
      <c r="H71" t="s">
        <v>2274</v>
      </c>
      <c r="I71" t="str">
        <f t="shared" si="11"/>
        <v>177.87 mi</v>
      </c>
      <c r="J71">
        <f t="shared" si="14"/>
        <v>8</v>
      </c>
      <c r="K71" t="str">
        <f t="shared" si="12"/>
        <v>177.87 </v>
      </c>
      <c r="L71">
        <f t="shared" si="15"/>
        <v>400.81</v>
      </c>
      <c r="M71" t="str">
        <f t="shared" si="13"/>
        <v> Turn</v>
      </c>
    </row>
    <row r="72" spans="1:13" ht="15">
      <c r="A72" t="s">
        <v>2275</v>
      </c>
      <c r="B72" t="s">
        <v>252</v>
      </c>
      <c r="C72" t="s">
        <v>2276</v>
      </c>
      <c r="D72" t="s">
        <v>403</v>
      </c>
      <c r="E72" t="s">
        <v>2277</v>
      </c>
      <c r="F72" t="s">
        <v>2278</v>
      </c>
      <c r="G72" t="s">
        <v>2279</v>
      </c>
      <c r="H72" t="s">
        <v>2280</v>
      </c>
      <c r="I72" t="str">
        <f t="shared" si="11"/>
        <v>178.68 mi</v>
      </c>
      <c r="J72">
        <f t="shared" si="14"/>
        <v>8</v>
      </c>
      <c r="K72" t="str">
        <f t="shared" si="12"/>
        <v>178.68 </v>
      </c>
      <c r="L72">
        <f t="shared" si="15"/>
        <v>401.62</v>
      </c>
      <c r="M72" t="str">
        <f t="shared" si="13"/>
        <v> ***L</v>
      </c>
    </row>
    <row r="73" spans="1:13" ht="15">
      <c r="A73" t="s">
        <v>2281</v>
      </c>
      <c r="B73" t="s">
        <v>2282</v>
      </c>
      <c r="C73" t="s">
        <v>2283</v>
      </c>
      <c r="D73" t="s">
        <v>2495</v>
      </c>
      <c r="E73" t="s">
        <v>2284</v>
      </c>
      <c r="F73" t="s">
        <v>2285</v>
      </c>
      <c r="G73" t="s">
        <v>2286</v>
      </c>
      <c r="H73" t="s">
        <v>2287</v>
      </c>
      <c r="I73" t="str">
        <f t="shared" si="11"/>
        <v>178.98 mi</v>
      </c>
      <c r="J73">
        <f t="shared" si="14"/>
        <v>8</v>
      </c>
      <c r="K73" t="str">
        <f t="shared" si="12"/>
        <v>178.98 </v>
      </c>
      <c r="L73">
        <f t="shared" si="15"/>
        <v>401.91999999999996</v>
      </c>
      <c r="M73" t="str">
        <f t="shared" si="13"/>
        <v> TR</v>
      </c>
    </row>
    <row r="74" spans="1:13" ht="15">
      <c r="A74" t="s">
        <v>2288</v>
      </c>
      <c r="B74" t="s">
        <v>1644</v>
      </c>
      <c r="C74" t="s">
        <v>2289</v>
      </c>
      <c r="D74" t="s">
        <v>2290</v>
      </c>
      <c r="E74" t="s">
        <v>2291</v>
      </c>
      <c r="F74" t="s">
        <v>2292</v>
      </c>
      <c r="G74" t="s">
        <v>2293</v>
      </c>
      <c r="H74" t="s">
        <v>2294</v>
      </c>
      <c r="I74" t="str">
        <f t="shared" si="11"/>
        <v>179.56 mi</v>
      </c>
      <c r="J74">
        <f t="shared" si="14"/>
        <v>8</v>
      </c>
      <c r="K74" t="str">
        <f t="shared" si="12"/>
        <v>179.56 </v>
      </c>
      <c r="L74">
        <f t="shared" si="15"/>
        <v>402.5</v>
      </c>
      <c r="M74" t="str">
        <f t="shared" si="13"/>
        <v> L</v>
      </c>
    </row>
    <row r="75" spans="1:13" ht="15">
      <c r="A75" t="s">
        <v>2295</v>
      </c>
      <c r="B75" t="s">
        <v>1641</v>
      </c>
      <c r="C75" t="s">
        <v>2296</v>
      </c>
      <c r="D75" t="s">
        <v>1604</v>
      </c>
      <c r="E75" t="s">
        <v>2297</v>
      </c>
      <c r="F75" t="s">
        <v>2298</v>
      </c>
      <c r="G75" t="s">
        <v>3501</v>
      </c>
      <c r="H75" t="s">
        <v>2299</v>
      </c>
      <c r="I75" t="str">
        <f t="shared" si="11"/>
        <v>187.23 mi</v>
      </c>
      <c r="J75">
        <f t="shared" si="14"/>
        <v>8</v>
      </c>
      <c r="K75" t="str">
        <f t="shared" si="12"/>
        <v>187.23 </v>
      </c>
      <c r="L75">
        <f t="shared" si="15"/>
        <v>410.16999999999996</v>
      </c>
      <c r="M75" t="str">
        <f t="shared" si="13"/>
        <v> R</v>
      </c>
    </row>
    <row r="76" spans="1:13" ht="15">
      <c r="A76" t="s">
        <v>2300</v>
      </c>
      <c r="B76" t="s">
        <v>1643</v>
      </c>
      <c r="C76" t="s">
        <v>2301</v>
      </c>
      <c r="D76" t="s">
        <v>2302</v>
      </c>
      <c r="E76" t="s">
        <v>1838</v>
      </c>
      <c r="F76" t="s">
        <v>1839</v>
      </c>
      <c r="G76" t="s">
        <v>1840</v>
      </c>
      <c r="H76" t="s">
        <v>1841</v>
      </c>
      <c r="I76" t="str">
        <f t="shared" si="11"/>
        <v>187.42 mi</v>
      </c>
      <c r="J76">
        <f t="shared" si="14"/>
        <v>8</v>
      </c>
      <c r="K76" t="str">
        <f t="shared" si="12"/>
        <v>187.42 </v>
      </c>
      <c r="L76">
        <f t="shared" si="15"/>
        <v>410.36</v>
      </c>
      <c r="M76" t="str">
        <f t="shared" si="13"/>
        <v> 1st L</v>
      </c>
    </row>
    <row r="77" spans="1:13" ht="15">
      <c r="A77" t="s">
        <v>1842</v>
      </c>
      <c r="B77" t="s">
        <v>1641</v>
      </c>
      <c r="C77" t="s">
        <v>1843</v>
      </c>
      <c r="D77" t="s">
        <v>1844</v>
      </c>
      <c r="E77" t="s">
        <v>1845</v>
      </c>
      <c r="F77" t="s">
        <v>1846</v>
      </c>
      <c r="G77" t="s">
        <v>1847</v>
      </c>
      <c r="H77" t="s">
        <v>1848</v>
      </c>
      <c r="I77" t="str">
        <f t="shared" si="11"/>
        <v>192.96 mi</v>
      </c>
      <c r="J77">
        <f t="shared" si="14"/>
        <v>8</v>
      </c>
      <c r="K77" t="str">
        <f t="shared" si="12"/>
        <v>192.96 </v>
      </c>
      <c r="L77">
        <f t="shared" si="15"/>
        <v>415.9</v>
      </c>
      <c r="M77" t="str">
        <f t="shared" si="13"/>
        <v> R</v>
      </c>
    </row>
    <row r="78" spans="1:13" ht="15">
      <c r="A78" t="s">
        <v>1849</v>
      </c>
      <c r="B78" t="s">
        <v>1647</v>
      </c>
      <c r="C78" t="s">
        <v>1850</v>
      </c>
      <c r="D78" t="s">
        <v>1851</v>
      </c>
      <c r="E78" t="s">
        <v>1852</v>
      </c>
      <c r="F78" t="s">
        <v>1853</v>
      </c>
      <c r="G78" t="s">
        <v>1854</v>
      </c>
      <c r="H78" t="s">
        <v>1855</v>
      </c>
      <c r="I78" t="str">
        <f t="shared" si="11"/>
        <v>196.59 mi</v>
      </c>
      <c r="J78">
        <f t="shared" si="14"/>
        <v>8</v>
      </c>
      <c r="K78" t="str">
        <f t="shared" si="12"/>
        <v>196.59 </v>
      </c>
      <c r="L78">
        <f t="shared" si="15"/>
        <v>419.53</v>
      </c>
      <c r="M78" t="str">
        <f t="shared" si="13"/>
        <v> T L</v>
      </c>
    </row>
    <row r="79" spans="1:13" ht="15">
      <c r="A79" t="s">
        <v>1856</v>
      </c>
      <c r="B79" t="s">
        <v>1646</v>
      </c>
      <c r="C79" t="s">
        <v>1857</v>
      </c>
      <c r="D79" t="s">
        <v>2480</v>
      </c>
      <c r="E79" t="s">
        <v>1858</v>
      </c>
      <c r="F79" t="s">
        <v>1859</v>
      </c>
      <c r="G79" t="s">
        <v>1860</v>
      </c>
      <c r="H79" t="s">
        <v>1591</v>
      </c>
      <c r="I79" t="str">
        <f t="shared" si="11"/>
        <v>219.63 mi</v>
      </c>
      <c r="J79">
        <f t="shared" si="14"/>
        <v>8</v>
      </c>
      <c r="K79" t="str">
        <f t="shared" si="12"/>
        <v>219.63 </v>
      </c>
      <c r="L79">
        <f t="shared" si="15"/>
        <v>442.57</v>
      </c>
      <c r="M79" t="str">
        <f t="shared" si="13"/>
        <v> X</v>
      </c>
    </row>
    <row r="80" spans="1:13" ht="15">
      <c r="A80" t="s">
        <v>1861</v>
      </c>
      <c r="B80" t="s">
        <v>525</v>
      </c>
      <c r="C80" t="s">
        <v>1920</v>
      </c>
      <c r="D80" t="s">
        <v>3424</v>
      </c>
      <c r="E80" t="s">
        <v>1921</v>
      </c>
      <c r="F80" t="s">
        <v>1922</v>
      </c>
      <c r="G80" t="s">
        <v>1923</v>
      </c>
      <c r="H80" t="s">
        <v>155</v>
      </c>
      <c r="I80" t="str">
        <f t="shared" si="11"/>
        <v>219.82 mi</v>
      </c>
      <c r="J80">
        <f t="shared" si="14"/>
        <v>8</v>
      </c>
      <c r="K80" t="str">
        <f t="shared" si="12"/>
        <v>219.82 </v>
      </c>
      <c r="L80">
        <f t="shared" si="15"/>
        <v>442.76</v>
      </c>
      <c r="M80" t="str">
        <f t="shared" si="13"/>
        <v> BL</v>
      </c>
    </row>
    <row r="81" spans="1:13" ht="15">
      <c r="A81" t="s">
        <v>156</v>
      </c>
      <c r="B81" t="s">
        <v>1646</v>
      </c>
      <c r="C81" t="s">
        <v>1862</v>
      </c>
      <c r="D81" t="s">
        <v>1305</v>
      </c>
      <c r="E81" t="s">
        <v>1863</v>
      </c>
      <c r="F81" t="s">
        <v>1864</v>
      </c>
      <c r="G81" t="s">
        <v>1865</v>
      </c>
      <c r="H81" t="s">
        <v>1866</v>
      </c>
      <c r="I81" t="str">
        <f t="shared" si="11"/>
        <v>219.90 mi</v>
      </c>
      <c r="J81">
        <f t="shared" si="14"/>
        <v>8</v>
      </c>
      <c r="K81" t="str">
        <f t="shared" si="12"/>
        <v>219.90 </v>
      </c>
      <c r="L81">
        <f t="shared" si="15"/>
        <v>442.84000000000003</v>
      </c>
      <c r="M81" t="str">
        <f t="shared" si="13"/>
        <v> X</v>
      </c>
    </row>
    <row r="82" spans="1:13" ht="15">
      <c r="A82" t="s">
        <v>1867</v>
      </c>
      <c r="B82" t="s">
        <v>1646</v>
      </c>
      <c r="C82" t="s">
        <v>1868</v>
      </c>
      <c r="D82" t="s">
        <v>1653</v>
      </c>
      <c r="E82" t="s">
        <v>1869</v>
      </c>
      <c r="F82" t="s">
        <v>1870</v>
      </c>
      <c r="G82" t="s">
        <v>1871</v>
      </c>
      <c r="H82" t="s">
        <v>1872</v>
      </c>
      <c r="I82" t="str">
        <f t="shared" si="11"/>
        <v>220.98 mi</v>
      </c>
      <c r="J82">
        <f t="shared" si="14"/>
        <v>8</v>
      </c>
      <c r="K82" t="str">
        <f t="shared" si="12"/>
        <v>220.98 </v>
      </c>
      <c r="L82">
        <f t="shared" si="15"/>
        <v>443.91999999999996</v>
      </c>
      <c r="M82" t="str">
        <f t="shared" si="13"/>
        <v> X</v>
      </c>
    </row>
    <row r="83" spans="1:13" ht="15">
      <c r="A83" t="s">
        <v>1873</v>
      </c>
      <c r="B83" t="s">
        <v>1651</v>
      </c>
      <c r="C83" t="s">
        <v>1874</v>
      </c>
      <c r="D83" t="s">
        <v>2490</v>
      </c>
      <c r="E83" t="s">
        <v>1875</v>
      </c>
      <c r="F83" t="s">
        <v>1876</v>
      </c>
      <c r="G83" t="s">
        <v>1877</v>
      </c>
      <c r="H83" t="s">
        <v>1878</v>
      </c>
      <c r="I83" t="str">
        <f t="shared" si="11"/>
        <v>221.15 mi</v>
      </c>
      <c r="J83">
        <f t="shared" si="14"/>
        <v>8</v>
      </c>
      <c r="K83" t="str">
        <f t="shared" si="12"/>
        <v>221.15 </v>
      </c>
      <c r="L83">
        <f t="shared" si="15"/>
        <v>444.09000000000003</v>
      </c>
      <c r="M83" t="str">
        <f t="shared" si="13"/>
        <v> 1st R</v>
      </c>
    </row>
    <row r="84" spans="1:13" ht="15">
      <c r="A84" t="s">
        <v>1879</v>
      </c>
      <c r="B84" t="s">
        <v>1669</v>
      </c>
      <c r="C84" t="s">
        <v>1880</v>
      </c>
      <c r="D84" t="s">
        <v>1622</v>
      </c>
      <c r="E84" t="s">
        <v>1881</v>
      </c>
      <c r="F84" t="s">
        <v>1882</v>
      </c>
      <c r="G84" t="s">
        <v>1161</v>
      </c>
      <c r="H84" t="s">
        <v>1883</v>
      </c>
      <c r="I84" t="str">
        <f t="shared" si="11"/>
        <v>221.26 mi</v>
      </c>
      <c r="J84">
        <f t="shared" si="14"/>
        <v>8</v>
      </c>
      <c r="K84" t="str">
        <f t="shared" si="12"/>
        <v>221.26 </v>
      </c>
      <c r="L84">
        <f t="shared" si="15"/>
        <v>444.2</v>
      </c>
      <c r="M84" t="str">
        <f t="shared" si="13"/>
        <v> STOP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A84" sqref="A84"/>
    </sheetView>
  </sheetViews>
  <sheetFormatPr defaultColWidth="8.88671875" defaultRowHeight="15"/>
  <cols>
    <col min="1" max="1" width="28.6640625" style="0" customWidth="1"/>
    <col min="2" max="2" width="9.88671875" style="0" customWidth="1"/>
    <col min="3" max="9" width="8.6640625" style="0" customWidth="1"/>
    <col min="10" max="10" width="4.10546875" style="0" customWidth="1"/>
    <col min="11" max="16384" width="8.6640625" style="0" customWidth="1"/>
  </cols>
  <sheetData>
    <row r="1" spans="1:14" ht="15">
      <c r="A1" t="s">
        <v>1633</v>
      </c>
      <c r="B1" t="s">
        <v>1634</v>
      </c>
      <c r="C1" t="s">
        <v>1635</v>
      </c>
      <c r="D1" t="s">
        <v>1636</v>
      </c>
      <c r="E1" t="s">
        <v>1637</v>
      </c>
      <c r="F1" t="s">
        <v>1638</v>
      </c>
      <c r="G1" t="s">
        <v>1639</v>
      </c>
      <c r="H1" t="s">
        <v>1640</v>
      </c>
      <c r="K1">
        <f>INDIRECT("L"&amp;COUNTA(K2:K99)+1)</f>
        <v>630</v>
      </c>
      <c r="L1">
        <f>Seg3!K1</f>
        <v>444.2</v>
      </c>
      <c r="M1" t="s">
        <v>2470</v>
      </c>
      <c r="N1" t="str">
        <f>"Lewisburg_Lewisburg_B.csv"</f>
        <v>Lewisburg_Lewisburg_B.csv</v>
      </c>
    </row>
    <row r="2" spans="1:13" ht="15">
      <c r="A2" t="s">
        <v>1879</v>
      </c>
      <c r="B2" t="s">
        <v>2578</v>
      </c>
      <c r="C2" t="s">
        <v>2371</v>
      </c>
      <c r="D2" t="s">
        <v>1619</v>
      </c>
      <c r="E2" t="s">
        <v>1642</v>
      </c>
      <c r="F2" t="s">
        <v>3010</v>
      </c>
      <c r="G2" t="s">
        <v>2372</v>
      </c>
      <c r="H2" t="s">
        <v>2579</v>
      </c>
      <c r="I2" t="str">
        <f aca="true" t="shared" si="0" ref="I2:I12">TRIM(E2)</f>
        <v>0.00 mi</v>
      </c>
      <c r="J2">
        <f aca="true" t="shared" si="1" ref="J2:J65">FIND("mi",I2)</f>
        <v>6</v>
      </c>
      <c r="K2" t="str">
        <f>LEFT(I2,J2-1)</f>
        <v>0.00 </v>
      </c>
      <c r="L2">
        <f aca="true" t="shared" si="2" ref="L2:L65">$L$1+K2</f>
        <v>444.2</v>
      </c>
      <c r="M2" t="str">
        <f aca="true" t="shared" si="3" ref="M2:M12">IF(B2&lt;&gt;" ???",B2,$M$1)</f>
        <v> ?</v>
      </c>
    </row>
    <row r="3" spans="1:13" ht="15">
      <c r="A3" t="s">
        <v>2373</v>
      </c>
      <c r="B3" t="s">
        <v>2471</v>
      </c>
      <c r="C3" t="s">
        <v>2580</v>
      </c>
      <c r="D3" t="s">
        <v>1649</v>
      </c>
      <c r="E3" t="s">
        <v>1619</v>
      </c>
      <c r="F3" t="s">
        <v>2581</v>
      </c>
      <c r="G3" t="s">
        <v>1164</v>
      </c>
      <c r="H3" t="s">
        <v>1976</v>
      </c>
      <c r="I3" t="str">
        <f t="shared" si="0"/>
        <v>0.03 mi</v>
      </c>
      <c r="J3">
        <f t="shared" si="1"/>
        <v>6</v>
      </c>
      <c r="K3" t="str">
        <f aca="true" t="shared" si="4" ref="K3:K12">LEFT(I3,J3-1)</f>
        <v>0.03 </v>
      </c>
      <c r="L3">
        <f t="shared" si="2"/>
        <v>444.22999999999996</v>
      </c>
      <c r="M3" t="str">
        <f t="shared" si="3"/>
        <v> Backtrack</v>
      </c>
    </row>
    <row r="4" spans="1:13" ht="15">
      <c r="A4" t="s">
        <v>2582</v>
      </c>
      <c r="B4" t="s">
        <v>1651</v>
      </c>
      <c r="C4" t="s">
        <v>2583</v>
      </c>
      <c r="D4" t="s">
        <v>1652</v>
      </c>
      <c r="E4" t="s">
        <v>1652</v>
      </c>
      <c r="F4" t="s">
        <v>2584</v>
      </c>
      <c r="G4" t="s">
        <v>1974</v>
      </c>
      <c r="H4" t="s">
        <v>1975</v>
      </c>
      <c r="I4" t="str">
        <f t="shared" si="0"/>
        <v>0.14 mi</v>
      </c>
      <c r="J4">
        <f t="shared" si="1"/>
        <v>6</v>
      </c>
      <c r="K4" t="str">
        <f t="shared" si="4"/>
        <v>0.14 </v>
      </c>
      <c r="L4">
        <f t="shared" si="2"/>
        <v>444.34</v>
      </c>
      <c r="M4" t="str">
        <f t="shared" si="3"/>
        <v> 1st R</v>
      </c>
    </row>
    <row r="5" spans="1:13" ht="15">
      <c r="A5" t="s">
        <v>2585</v>
      </c>
      <c r="B5" t="s">
        <v>1643</v>
      </c>
      <c r="C5" t="s">
        <v>2586</v>
      </c>
      <c r="D5" t="s">
        <v>533</v>
      </c>
      <c r="E5" t="s">
        <v>2213</v>
      </c>
      <c r="F5" t="s">
        <v>2587</v>
      </c>
      <c r="G5" t="s">
        <v>2588</v>
      </c>
      <c r="H5" t="s">
        <v>2589</v>
      </c>
      <c r="I5" t="str">
        <f t="shared" si="0"/>
        <v>0.29 mi</v>
      </c>
      <c r="J5">
        <f t="shared" si="1"/>
        <v>6</v>
      </c>
      <c r="K5" t="str">
        <f t="shared" si="4"/>
        <v>0.29 </v>
      </c>
      <c r="L5">
        <f t="shared" si="2"/>
        <v>444.49</v>
      </c>
      <c r="M5" t="str">
        <f t="shared" si="3"/>
        <v> 1st L</v>
      </c>
    </row>
    <row r="6" spans="1:13" ht="15">
      <c r="A6" t="s">
        <v>2590</v>
      </c>
      <c r="B6" t="s">
        <v>1648</v>
      </c>
      <c r="C6" t="s">
        <v>970</v>
      </c>
      <c r="D6" t="s">
        <v>2479</v>
      </c>
      <c r="E6" t="s">
        <v>2498</v>
      </c>
      <c r="F6" t="s">
        <v>2591</v>
      </c>
      <c r="G6" t="s">
        <v>2592</v>
      </c>
      <c r="H6" t="s">
        <v>1591</v>
      </c>
      <c r="I6" t="str">
        <f t="shared" si="0"/>
        <v>0.95 mi</v>
      </c>
      <c r="J6">
        <f t="shared" si="1"/>
        <v>6</v>
      </c>
      <c r="K6" t="str">
        <f t="shared" si="4"/>
        <v>0.95 </v>
      </c>
      <c r="L6">
        <f t="shared" si="2"/>
        <v>445.15</v>
      </c>
      <c r="M6" t="str">
        <f t="shared" si="3"/>
        <v> T R</v>
      </c>
    </row>
    <row r="7" spans="1:13" ht="15">
      <c r="A7" t="s">
        <v>971</v>
      </c>
      <c r="B7" t="s">
        <v>1643</v>
      </c>
      <c r="C7" t="s">
        <v>972</v>
      </c>
      <c r="D7" t="s">
        <v>1664</v>
      </c>
      <c r="E7" t="s">
        <v>2381</v>
      </c>
      <c r="F7" t="s">
        <v>973</v>
      </c>
      <c r="G7" t="s">
        <v>2593</v>
      </c>
      <c r="H7" t="s">
        <v>2594</v>
      </c>
      <c r="I7" t="str">
        <f t="shared" si="0"/>
        <v>1.47 mi</v>
      </c>
      <c r="J7">
        <f t="shared" si="1"/>
        <v>6</v>
      </c>
      <c r="K7" t="str">
        <f t="shared" si="4"/>
        <v>1.47 </v>
      </c>
      <c r="L7">
        <f t="shared" si="2"/>
        <v>445.67</v>
      </c>
      <c r="M7" t="str">
        <f t="shared" si="3"/>
        <v> 1st L</v>
      </c>
    </row>
    <row r="8" spans="1:13" ht="15">
      <c r="A8" t="s">
        <v>974</v>
      </c>
      <c r="B8" t="s">
        <v>1184</v>
      </c>
      <c r="C8" t="s">
        <v>975</v>
      </c>
      <c r="D8" t="s">
        <v>1267</v>
      </c>
      <c r="E8" t="s">
        <v>976</v>
      </c>
      <c r="F8" t="s">
        <v>977</v>
      </c>
      <c r="G8" t="s">
        <v>978</v>
      </c>
      <c r="H8" t="s">
        <v>979</v>
      </c>
      <c r="I8" t="str">
        <f t="shared" si="0"/>
        <v>1.60 mi</v>
      </c>
      <c r="J8">
        <f t="shared" si="1"/>
        <v>6</v>
      </c>
      <c r="K8" t="str">
        <f t="shared" si="4"/>
        <v>1.60 </v>
      </c>
      <c r="L8">
        <f t="shared" si="2"/>
        <v>445.8</v>
      </c>
      <c r="M8" t="str">
        <f t="shared" si="3"/>
        <v> 1st BL</v>
      </c>
    </row>
    <row r="9" spans="1:13" ht="15">
      <c r="A9" t="s">
        <v>980</v>
      </c>
      <c r="B9" t="s">
        <v>1641</v>
      </c>
      <c r="C9" t="s">
        <v>2595</v>
      </c>
      <c r="D9" t="s">
        <v>1652</v>
      </c>
      <c r="E9" t="s">
        <v>3575</v>
      </c>
      <c r="F9" t="s">
        <v>2596</v>
      </c>
      <c r="G9" t="s">
        <v>2384</v>
      </c>
      <c r="H9" t="s">
        <v>2594</v>
      </c>
      <c r="I9" t="str">
        <f t="shared" si="0"/>
        <v>1.86 mi</v>
      </c>
      <c r="J9">
        <f t="shared" si="1"/>
        <v>6</v>
      </c>
      <c r="K9" t="str">
        <f t="shared" si="4"/>
        <v>1.86 </v>
      </c>
      <c r="L9">
        <f t="shared" si="2"/>
        <v>446.06</v>
      </c>
      <c r="M9" t="str">
        <f t="shared" si="3"/>
        <v> R</v>
      </c>
    </row>
    <row r="10" spans="1:13" ht="15">
      <c r="A10" t="s">
        <v>2597</v>
      </c>
      <c r="B10" t="s">
        <v>1643</v>
      </c>
      <c r="C10" t="s">
        <v>2598</v>
      </c>
      <c r="D10" t="s">
        <v>1381</v>
      </c>
      <c r="E10" t="s">
        <v>2599</v>
      </c>
      <c r="F10" t="s">
        <v>2600</v>
      </c>
      <c r="G10" t="s">
        <v>2384</v>
      </c>
      <c r="H10" t="s">
        <v>2601</v>
      </c>
      <c r="I10" t="str">
        <f t="shared" si="0"/>
        <v>2.00 mi</v>
      </c>
      <c r="J10">
        <f t="shared" si="1"/>
        <v>6</v>
      </c>
      <c r="K10" t="str">
        <f t="shared" si="4"/>
        <v>2.00 </v>
      </c>
      <c r="L10">
        <f t="shared" si="2"/>
        <v>446.2</v>
      </c>
      <c r="M10" t="str">
        <f t="shared" si="3"/>
        <v> 1st L</v>
      </c>
    </row>
    <row r="11" spans="1:13" ht="15">
      <c r="A11" t="s">
        <v>2602</v>
      </c>
      <c r="B11" t="s">
        <v>1646</v>
      </c>
      <c r="C11" t="s">
        <v>2603</v>
      </c>
      <c r="D11" t="s">
        <v>1101</v>
      </c>
      <c r="E11" t="s">
        <v>16</v>
      </c>
      <c r="F11" t="s">
        <v>2604</v>
      </c>
      <c r="G11" t="s">
        <v>2605</v>
      </c>
      <c r="H11" t="s">
        <v>2606</v>
      </c>
      <c r="I11" t="str">
        <f t="shared" si="0"/>
        <v>2.70 mi</v>
      </c>
      <c r="J11">
        <f t="shared" si="1"/>
        <v>6</v>
      </c>
      <c r="K11" t="str">
        <f t="shared" si="4"/>
        <v>2.70 </v>
      </c>
      <c r="L11">
        <f t="shared" si="2"/>
        <v>446.9</v>
      </c>
      <c r="M11" t="str">
        <f t="shared" si="3"/>
        <v> X</v>
      </c>
    </row>
    <row r="12" spans="1:13" ht="15">
      <c r="A12" t="s">
        <v>2607</v>
      </c>
      <c r="B12" t="s">
        <v>1651</v>
      </c>
      <c r="C12" t="s">
        <v>2608</v>
      </c>
      <c r="D12" t="s">
        <v>2609</v>
      </c>
      <c r="E12" t="s">
        <v>2610</v>
      </c>
      <c r="F12" t="s">
        <v>2611</v>
      </c>
      <c r="G12" t="s">
        <v>2612</v>
      </c>
      <c r="H12" t="s">
        <v>2613</v>
      </c>
      <c r="I12" t="str">
        <f t="shared" si="0"/>
        <v>3.06 mi</v>
      </c>
      <c r="J12">
        <f t="shared" si="1"/>
        <v>6</v>
      </c>
      <c r="K12" t="str">
        <f t="shared" si="4"/>
        <v>3.06 </v>
      </c>
      <c r="L12">
        <f t="shared" si="2"/>
        <v>447.26</v>
      </c>
      <c r="M12" t="str">
        <f t="shared" si="3"/>
        <v> 1st R</v>
      </c>
    </row>
    <row r="13" spans="1:13" ht="15">
      <c r="A13" t="s">
        <v>2614</v>
      </c>
      <c r="B13" t="s">
        <v>1646</v>
      </c>
      <c r="C13" t="s">
        <v>981</v>
      </c>
      <c r="D13" t="s">
        <v>2615</v>
      </c>
      <c r="E13" t="s">
        <v>935</v>
      </c>
      <c r="F13" t="s">
        <v>2616</v>
      </c>
      <c r="G13" t="s">
        <v>2617</v>
      </c>
      <c r="H13" t="s">
        <v>2618</v>
      </c>
      <c r="I13" t="str">
        <f aca="true" t="shared" si="5" ref="I13:I21">TRIM(E13)</f>
        <v>4.99 mi</v>
      </c>
      <c r="J13">
        <f t="shared" si="1"/>
        <v>6</v>
      </c>
      <c r="K13" t="str">
        <f aca="true" t="shared" si="6" ref="K13:K21">LEFT(I13,J13-1)</f>
        <v>4.99 </v>
      </c>
      <c r="L13">
        <f t="shared" si="2"/>
        <v>449.19</v>
      </c>
      <c r="M13" t="str">
        <f aca="true" t="shared" si="7" ref="M13:M21">IF(B13&lt;&gt;" ???",B13,$M$1)</f>
        <v> X</v>
      </c>
    </row>
    <row r="14" spans="1:13" ht="15">
      <c r="A14" t="s">
        <v>982</v>
      </c>
      <c r="B14" t="s">
        <v>1647</v>
      </c>
      <c r="C14" t="s">
        <v>983</v>
      </c>
      <c r="D14" t="s">
        <v>2619</v>
      </c>
      <c r="E14" t="s">
        <v>2620</v>
      </c>
      <c r="F14" t="s">
        <v>2621</v>
      </c>
      <c r="G14" t="s">
        <v>2622</v>
      </c>
      <c r="H14" t="s">
        <v>1972</v>
      </c>
      <c r="I14" t="str">
        <f t="shared" si="5"/>
        <v>6.66 mi</v>
      </c>
      <c r="J14">
        <f t="shared" si="1"/>
        <v>6</v>
      </c>
      <c r="K14" t="str">
        <f t="shared" si="6"/>
        <v>6.66 </v>
      </c>
      <c r="L14">
        <f t="shared" si="2"/>
        <v>450.86</v>
      </c>
      <c r="M14" t="str">
        <f t="shared" si="7"/>
        <v> T L</v>
      </c>
    </row>
    <row r="15" spans="1:13" ht="15">
      <c r="A15" t="s">
        <v>3265</v>
      </c>
      <c r="B15" t="s">
        <v>1646</v>
      </c>
      <c r="C15" t="s">
        <v>984</v>
      </c>
      <c r="D15" t="s">
        <v>2499</v>
      </c>
      <c r="E15" t="s">
        <v>2623</v>
      </c>
      <c r="F15" t="s">
        <v>2624</v>
      </c>
      <c r="G15" t="s">
        <v>1969</v>
      </c>
      <c r="H15" t="s">
        <v>1970</v>
      </c>
      <c r="I15" t="str">
        <f t="shared" si="5"/>
        <v>10.59 mi</v>
      </c>
      <c r="J15">
        <f t="shared" si="1"/>
        <v>7</v>
      </c>
      <c r="K15" t="str">
        <f t="shared" si="6"/>
        <v>10.59 </v>
      </c>
      <c r="L15">
        <f t="shared" si="2"/>
        <v>454.78999999999996</v>
      </c>
      <c r="M15" t="str">
        <f t="shared" si="7"/>
        <v> X</v>
      </c>
    </row>
    <row r="16" spans="1:13" ht="15">
      <c r="A16" t="s">
        <v>985</v>
      </c>
      <c r="B16" t="s">
        <v>1648</v>
      </c>
      <c r="C16" t="s">
        <v>2625</v>
      </c>
      <c r="D16" t="s">
        <v>2475</v>
      </c>
      <c r="E16" t="s">
        <v>2626</v>
      </c>
      <c r="F16" t="s">
        <v>2627</v>
      </c>
      <c r="G16" t="s">
        <v>1967</v>
      </c>
      <c r="H16" t="s">
        <v>1968</v>
      </c>
      <c r="I16" t="str">
        <f t="shared" si="5"/>
        <v>10.87 mi</v>
      </c>
      <c r="J16">
        <f t="shared" si="1"/>
        <v>7</v>
      </c>
      <c r="K16" t="str">
        <f t="shared" si="6"/>
        <v>10.87 </v>
      </c>
      <c r="L16">
        <f t="shared" si="2"/>
        <v>455.07</v>
      </c>
      <c r="M16" t="str">
        <f t="shared" si="7"/>
        <v> T R</v>
      </c>
    </row>
    <row r="17" spans="1:13" ht="15">
      <c r="A17" t="s">
        <v>2628</v>
      </c>
      <c r="B17" t="s">
        <v>2380</v>
      </c>
      <c r="C17" t="s">
        <v>986</v>
      </c>
      <c r="D17" t="s">
        <v>2629</v>
      </c>
      <c r="E17" t="s">
        <v>2630</v>
      </c>
      <c r="F17" t="s">
        <v>2631</v>
      </c>
      <c r="G17" t="s">
        <v>2632</v>
      </c>
      <c r="H17" t="s">
        <v>2633</v>
      </c>
      <c r="I17" t="str">
        <f t="shared" si="5"/>
        <v>11.40 mi</v>
      </c>
      <c r="J17">
        <f t="shared" si="1"/>
        <v>7</v>
      </c>
      <c r="K17" t="str">
        <f t="shared" si="6"/>
        <v>11.40 </v>
      </c>
      <c r="L17">
        <f t="shared" si="2"/>
        <v>455.59999999999997</v>
      </c>
      <c r="M17" t="str">
        <f t="shared" si="7"/>
        <v> BR</v>
      </c>
    </row>
    <row r="18" spans="1:13" ht="15">
      <c r="A18" t="s">
        <v>987</v>
      </c>
      <c r="B18" t="s">
        <v>1647</v>
      </c>
      <c r="C18" t="s">
        <v>988</v>
      </c>
      <c r="D18" t="s">
        <v>1795</v>
      </c>
      <c r="E18" t="s">
        <v>3191</v>
      </c>
      <c r="F18" t="s">
        <v>2634</v>
      </c>
      <c r="G18" t="s">
        <v>1965</v>
      </c>
      <c r="H18" t="s">
        <v>1966</v>
      </c>
      <c r="I18" t="str">
        <f t="shared" si="5"/>
        <v>18.04 mi</v>
      </c>
      <c r="J18">
        <f t="shared" si="1"/>
        <v>7</v>
      </c>
      <c r="K18" t="str">
        <f t="shared" si="6"/>
        <v>18.04 </v>
      </c>
      <c r="L18">
        <f t="shared" si="2"/>
        <v>462.24</v>
      </c>
      <c r="M18" t="str">
        <f t="shared" si="7"/>
        <v> T L</v>
      </c>
    </row>
    <row r="19" spans="1:13" ht="15">
      <c r="A19" t="s">
        <v>989</v>
      </c>
      <c r="B19" t="s">
        <v>1641</v>
      </c>
      <c r="C19" t="s">
        <v>990</v>
      </c>
      <c r="D19" t="s">
        <v>1962</v>
      </c>
      <c r="E19" t="s">
        <v>2635</v>
      </c>
      <c r="F19" t="s">
        <v>2636</v>
      </c>
      <c r="G19" t="s">
        <v>1963</v>
      </c>
      <c r="H19" t="s">
        <v>1964</v>
      </c>
      <c r="I19" t="str">
        <f t="shared" si="5"/>
        <v>18.59 mi</v>
      </c>
      <c r="J19">
        <f t="shared" si="1"/>
        <v>7</v>
      </c>
      <c r="K19" t="str">
        <f t="shared" si="6"/>
        <v>18.59 </v>
      </c>
      <c r="L19">
        <f t="shared" si="2"/>
        <v>462.78999999999996</v>
      </c>
      <c r="M19" t="str">
        <f t="shared" si="7"/>
        <v> R</v>
      </c>
    </row>
    <row r="20" spans="1:13" ht="15">
      <c r="A20" t="s">
        <v>991</v>
      </c>
      <c r="B20" t="s">
        <v>3144</v>
      </c>
      <c r="C20" t="s">
        <v>2637</v>
      </c>
      <c r="D20" t="s">
        <v>1292</v>
      </c>
      <c r="E20" t="s">
        <v>2638</v>
      </c>
      <c r="F20" t="s">
        <v>2639</v>
      </c>
      <c r="G20" t="s">
        <v>1589</v>
      </c>
      <c r="H20" t="s">
        <v>1590</v>
      </c>
      <c r="I20" t="str">
        <f t="shared" si="5"/>
        <v>23.43 mi</v>
      </c>
      <c r="J20">
        <f t="shared" si="1"/>
        <v>7</v>
      </c>
      <c r="K20" t="str">
        <f t="shared" si="6"/>
        <v>23.43 </v>
      </c>
      <c r="L20">
        <f t="shared" si="2"/>
        <v>467.63</v>
      </c>
      <c r="M20" t="str">
        <f t="shared" si="7"/>
        <v> ***R</v>
      </c>
    </row>
    <row r="21" spans="1:13" ht="15">
      <c r="A21" t="s">
        <v>2640</v>
      </c>
      <c r="B21" t="s">
        <v>3144</v>
      </c>
      <c r="C21" t="s">
        <v>992</v>
      </c>
      <c r="D21" t="s">
        <v>1289</v>
      </c>
      <c r="E21" t="s">
        <v>993</v>
      </c>
      <c r="F21" t="s">
        <v>2641</v>
      </c>
      <c r="G21" t="s">
        <v>1293</v>
      </c>
      <c r="H21" t="s">
        <v>1294</v>
      </c>
      <c r="I21" t="str">
        <f t="shared" si="5"/>
        <v>29.74 mi</v>
      </c>
      <c r="J21">
        <f t="shared" si="1"/>
        <v>7</v>
      </c>
      <c r="K21" t="str">
        <f t="shared" si="6"/>
        <v>29.74 </v>
      </c>
      <c r="L21">
        <f t="shared" si="2"/>
        <v>473.94</v>
      </c>
      <c r="M21" t="str">
        <f t="shared" si="7"/>
        <v> ***R</v>
      </c>
    </row>
    <row r="22" spans="1:13" ht="15">
      <c r="A22" t="s">
        <v>994</v>
      </c>
      <c r="B22" t="s">
        <v>1631</v>
      </c>
      <c r="C22" t="s">
        <v>995</v>
      </c>
      <c r="D22" t="s">
        <v>2496</v>
      </c>
      <c r="E22" t="s">
        <v>2642</v>
      </c>
      <c r="F22" t="s">
        <v>593</v>
      </c>
      <c r="G22" t="s">
        <v>1290</v>
      </c>
      <c r="H22" t="s">
        <v>1291</v>
      </c>
      <c r="I22" t="str">
        <f aca="true" t="shared" si="8" ref="I22:I51">TRIM(E22)</f>
        <v>32.31 mi</v>
      </c>
      <c r="J22">
        <f t="shared" si="1"/>
        <v>7</v>
      </c>
      <c r="K22" t="str">
        <f aca="true" t="shared" si="9" ref="K22:K51">LEFT(I22,J22-1)</f>
        <v>32.31 </v>
      </c>
      <c r="L22">
        <f t="shared" si="2"/>
        <v>476.51</v>
      </c>
      <c r="M22" t="str">
        <f aca="true" t="shared" si="10" ref="M22:M51">IF(B22&lt;&gt;" ???",B22,$M$1)</f>
        <v> Straight</v>
      </c>
    </row>
    <row r="23" spans="1:13" ht="15">
      <c r="A23" t="s">
        <v>996</v>
      </c>
      <c r="B23" t="s">
        <v>3144</v>
      </c>
      <c r="C23" t="s">
        <v>997</v>
      </c>
      <c r="D23" t="s">
        <v>1284</v>
      </c>
      <c r="E23" t="s">
        <v>2643</v>
      </c>
      <c r="F23" t="s">
        <v>2644</v>
      </c>
      <c r="G23" t="s">
        <v>1287</v>
      </c>
      <c r="H23" t="s">
        <v>1288</v>
      </c>
      <c r="I23" t="str">
        <f t="shared" si="8"/>
        <v>33.25 mi</v>
      </c>
      <c r="J23">
        <f t="shared" si="1"/>
        <v>7</v>
      </c>
      <c r="K23" t="str">
        <f t="shared" si="9"/>
        <v>33.25 </v>
      </c>
      <c r="L23">
        <f t="shared" si="2"/>
        <v>477.45</v>
      </c>
      <c r="M23" t="str">
        <f t="shared" si="10"/>
        <v> ***R</v>
      </c>
    </row>
    <row r="24" spans="1:13" ht="15">
      <c r="A24" t="s">
        <v>998</v>
      </c>
      <c r="B24" t="s">
        <v>1645</v>
      </c>
      <c r="C24" t="s">
        <v>999</v>
      </c>
      <c r="D24" t="s">
        <v>1662</v>
      </c>
      <c r="E24" t="s">
        <v>1000</v>
      </c>
      <c r="F24" t="s">
        <v>2645</v>
      </c>
      <c r="G24" t="s">
        <v>1285</v>
      </c>
      <c r="H24" t="s">
        <v>1286</v>
      </c>
      <c r="I24" t="str">
        <f t="shared" si="8"/>
        <v>34.23 mi</v>
      </c>
      <c r="J24">
        <f t="shared" si="1"/>
        <v>7</v>
      </c>
      <c r="K24" t="str">
        <f t="shared" si="9"/>
        <v>34.23 </v>
      </c>
      <c r="L24">
        <f t="shared" si="2"/>
        <v>478.43</v>
      </c>
      <c r="M24" t="str">
        <f t="shared" si="10"/>
        <v> B R</v>
      </c>
    </row>
    <row r="25" spans="1:13" ht="15">
      <c r="A25" t="s">
        <v>1001</v>
      </c>
      <c r="B25" t="s">
        <v>1648</v>
      </c>
      <c r="C25" t="s">
        <v>2646</v>
      </c>
      <c r="D25" t="s">
        <v>1885</v>
      </c>
      <c r="E25" t="s">
        <v>1002</v>
      </c>
      <c r="F25" t="s">
        <v>2647</v>
      </c>
      <c r="G25" t="s">
        <v>2962</v>
      </c>
      <c r="H25" t="s">
        <v>2963</v>
      </c>
      <c r="I25" t="str">
        <f t="shared" si="8"/>
        <v>34.83 mi</v>
      </c>
      <c r="J25">
        <f t="shared" si="1"/>
        <v>7</v>
      </c>
      <c r="K25" t="str">
        <f t="shared" si="9"/>
        <v>34.83 </v>
      </c>
      <c r="L25">
        <f t="shared" si="2"/>
        <v>479.03</v>
      </c>
      <c r="M25" t="str">
        <f t="shared" si="10"/>
        <v> T R</v>
      </c>
    </row>
    <row r="26" spans="1:13" ht="15">
      <c r="A26" t="s">
        <v>42</v>
      </c>
      <c r="B26" t="s">
        <v>1648</v>
      </c>
      <c r="C26" t="s">
        <v>2951</v>
      </c>
      <c r="D26" t="s">
        <v>2957</v>
      </c>
      <c r="E26" t="s">
        <v>43</v>
      </c>
      <c r="F26" t="s">
        <v>44</v>
      </c>
      <c r="G26" t="s">
        <v>2960</v>
      </c>
      <c r="H26" t="s">
        <v>2961</v>
      </c>
      <c r="I26" t="str">
        <f t="shared" si="8"/>
        <v>35.75 mi</v>
      </c>
      <c r="J26">
        <f t="shared" si="1"/>
        <v>7</v>
      </c>
      <c r="K26" t="str">
        <f t="shared" si="9"/>
        <v>35.75 </v>
      </c>
      <c r="L26">
        <f t="shared" si="2"/>
        <v>479.95</v>
      </c>
      <c r="M26" t="str">
        <f t="shared" si="10"/>
        <v> T R</v>
      </c>
    </row>
    <row r="27" spans="1:13" ht="15">
      <c r="A27" t="s">
        <v>2954</v>
      </c>
      <c r="B27" t="s">
        <v>1647</v>
      </c>
      <c r="C27" t="s">
        <v>2947</v>
      </c>
      <c r="D27" t="s">
        <v>1652</v>
      </c>
      <c r="E27" t="s">
        <v>45</v>
      </c>
      <c r="F27" t="s">
        <v>46</v>
      </c>
      <c r="G27" t="s">
        <v>2958</v>
      </c>
      <c r="H27" t="s">
        <v>2959</v>
      </c>
      <c r="I27" t="str">
        <f t="shared" si="8"/>
        <v>36.60 mi</v>
      </c>
      <c r="J27">
        <f t="shared" si="1"/>
        <v>7</v>
      </c>
      <c r="K27" t="str">
        <f t="shared" si="9"/>
        <v>36.60 </v>
      </c>
      <c r="L27">
        <f t="shared" si="2"/>
        <v>480.8</v>
      </c>
      <c r="M27" t="str">
        <f t="shared" si="10"/>
        <v> T L</v>
      </c>
    </row>
    <row r="28" spans="1:13" ht="15">
      <c r="A28" t="s">
        <v>2950</v>
      </c>
      <c r="B28" t="s">
        <v>1651</v>
      </c>
      <c r="C28" t="s">
        <v>47</v>
      </c>
      <c r="D28" t="s">
        <v>2548</v>
      </c>
      <c r="E28" t="s">
        <v>1003</v>
      </c>
      <c r="F28" t="s">
        <v>48</v>
      </c>
      <c r="G28" t="s">
        <v>2955</v>
      </c>
      <c r="H28" t="s">
        <v>2956</v>
      </c>
      <c r="I28" t="str">
        <f t="shared" si="8"/>
        <v>36.74 mi</v>
      </c>
      <c r="J28">
        <f t="shared" si="1"/>
        <v>7</v>
      </c>
      <c r="K28" t="str">
        <f t="shared" si="9"/>
        <v>36.74 </v>
      </c>
      <c r="L28">
        <f t="shared" si="2"/>
        <v>480.94</v>
      </c>
      <c r="M28" t="str">
        <f t="shared" si="10"/>
        <v> 1st R</v>
      </c>
    </row>
    <row r="29" spans="1:13" ht="15">
      <c r="A29" t="s">
        <v>49</v>
      </c>
      <c r="B29" t="s">
        <v>1648</v>
      </c>
      <c r="C29" t="s">
        <v>2937</v>
      </c>
      <c r="D29" t="s">
        <v>1649</v>
      </c>
      <c r="E29" t="s">
        <v>50</v>
      </c>
      <c r="F29" t="s">
        <v>51</v>
      </c>
      <c r="G29" t="s">
        <v>2952</v>
      </c>
      <c r="H29" t="s">
        <v>2953</v>
      </c>
      <c r="I29" t="str">
        <f t="shared" si="8"/>
        <v>37.52 mi</v>
      </c>
      <c r="J29">
        <f t="shared" si="1"/>
        <v>7</v>
      </c>
      <c r="K29" t="str">
        <f t="shared" si="9"/>
        <v>37.52 </v>
      </c>
      <c r="L29">
        <f t="shared" si="2"/>
        <v>481.71999999999997</v>
      </c>
      <c r="M29" t="str">
        <f t="shared" si="10"/>
        <v> T R</v>
      </c>
    </row>
    <row r="30" spans="1:13" ht="15">
      <c r="A30" t="s">
        <v>2940</v>
      </c>
      <c r="B30" t="s">
        <v>1184</v>
      </c>
      <c r="C30" t="s">
        <v>1960</v>
      </c>
      <c r="D30" t="s">
        <v>2944</v>
      </c>
      <c r="E30" t="s">
        <v>52</v>
      </c>
      <c r="F30" t="s">
        <v>53</v>
      </c>
      <c r="G30" t="s">
        <v>2948</v>
      </c>
      <c r="H30" t="s">
        <v>2949</v>
      </c>
      <c r="I30" t="str">
        <f t="shared" si="8"/>
        <v>37.63 mi</v>
      </c>
      <c r="J30">
        <f t="shared" si="1"/>
        <v>7</v>
      </c>
      <c r="K30" t="str">
        <f t="shared" si="9"/>
        <v>37.63 </v>
      </c>
      <c r="L30">
        <f t="shared" si="2"/>
        <v>481.83</v>
      </c>
      <c r="M30" t="str">
        <f t="shared" si="10"/>
        <v> 1st BL</v>
      </c>
    </row>
    <row r="31" spans="1:13" ht="15">
      <c r="A31" t="s">
        <v>1961</v>
      </c>
      <c r="B31" t="s">
        <v>1646</v>
      </c>
      <c r="C31" t="s">
        <v>54</v>
      </c>
      <c r="D31" t="s">
        <v>2941</v>
      </c>
      <c r="E31" t="s">
        <v>1004</v>
      </c>
      <c r="F31" t="s">
        <v>55</v>
      </c>
      <c r="G31" t="s">
        <v>2945</v>
      </c>
      <c r="H31" t="s">
        <v>2946</v>
      </c>
      <c r="I31" t="str">
        <f t="shared" si="8"/>
        <v>39.73 mi</v>
      </c>
      <c r="J31">
        <f t="shared" si="1"/>
        <v>7</v>
      </c>
      <c r="K31" t="str">
        <f t="shared" si="9"/>
        <v>39.73 </v>
      </c>
      <c r="L31">
        <f t="shared" si="2"/>
        <v>483.93</v>
      </c>
      <c r="M31" t="str">
        <f t="shared" si="10"/>
        <v> X</v>
      </c>
    </row>
    <row r="32" spans="1:13" ht="15">
      <c r="A32" t="s">
        <v>56</v>
      </c>
      <c r="B32" t="s">
        <v>1647</v>
      </c>
      <c r="C32" t="s">
        <v>57</v>
      </c>
      <c r="D32" t="s">
        <v>3434</v>
      </c>
      <c r="E32" t="s">
        <v>58</v>
      </c>
      <c r="F32" t="s">
        <v>59</v>
      </c>
      <c r="G32" t="s">
        <v>2942</v>
      </c>
      <c r="H32" t="s">
        <v>2943</v>
      </c>
      <c r="I32" t="str">
        <f t="shared" si="8"/>
        <v>40.60 mi</v>
      </c>
      <c r="J32">
        <f t="shared" si="1"/>
        <v>7</v>
      </c>
      <c r="K32" t="str">
        <f t="shared" si="9"/>
        <v>40.60 </v>
      </c>
      <c r="L32">
        <f t="shared" si="2"/>
        <v>484.8</v>
      </c>
      <c r="M32" t="str">
        <f t="shared" si="10"/>
        <v> T L</v>
      </c>
    </row>
    <row r="33" spans="1:13" ht="15">
      <c r="A33" t="s">
        <v>60</v>
      </c>
      <c r="B33" t="s">
        <v>1641</v>
      </c>
      <c r="C33" t="s">
        <v>61</v>
      </c>
      <c r="D33" t="s">
        <v>2444</v>
      </c>
      <c r="E33" t="s">
        <v>1005</v>
      </c>
      <c r="F33" t="s">
        <v>62</v>
      </c>
      <c r="G33" t="s">
        <v>2938</v>
      </c>
      <c r="H33" t="s">
        <v>2939</v>
      </c>
      <c r="I33" t="str">
        <f t="shared" si="8"/>
        <v>41.24 mi</v>
      </c>
      <c r="J33">
        <f t="shared" si="1"/>
        <v>7</v>
      </c>
      <c r="K33" t="str">
        <f t="shared" si="9"/>
        <v>41.24 </v>
      </c>
      <c r="L33">
        <f t="shared" si="2"/>
        <v>485.44</v>
      </c>
      <c r="M33" t="str">
        <f t="shared" si="10"/>
        <v> R</v>
      </c>
    </row>
    <row r="34" spans="1:13" ht="15">
      <c r="A34" t="s">
        <v>63</v>
      </c>
      <c r="B34" t="s">
        <v>256</v>
      </c>
      <c r="C34" t="s">
        <v>64</v>
      </c>
      <c r="D34" t="s">
        <v>581</v>
      </c>
      <c r="E34" t="s">
        <v>1006</v>
      </c>
      <c r="F34" t="s">
        <v>65</v>
      </c>
      <c r="G34" t="s">
        <v>584</v>
      </c>
      <c r="H34" t="s">
        <v>585</v>
      </c>
      <c r="I34" t="str">
        <f t="shared" si="8"/>
        <v>42.42 mi</v>
      </c>
      <c r="J34">
        <f t="shared" si="1"/>
        <v>7</v>
      </c>
      <c r="K34" t="str">
        <f t="shared" si="9"/>
        <v>42.42 </v>
      </c>
      <c r="L34">
        <f t="shared" si="2"/>
        <v>486.62</v>
      </c>
      <c r="M34" t="str">
        <f t="shared" si="10"/>
        <v> TL + QR</v>
      </c>
    </row>
    <row r="35" spans="1:13" ht="15">
      <c r="A35" t="s">
        <v>66</v>
      </c>
      <c r="B35" t="s">
        <v>1647</v>
      </c>
      <c r="C35" t="s">
        <v>67</v>
      </c>
      <c r="D35" t="s">
        <v>2651</v>
      </c>
      <c r="E35" t="s">
        <v>68</v>
      </c>
      <c r="F35" t="s">
        <v>69</v>
      </c>
      <c r="G35" t="s">
        <v>582</v>
      </c>
      <c r="H35" t="s">
        <v>583</v>
      </c>
      <c r="I35" t="str">
        <f t="shared" si="8"/>
        <v>43.01 mi</v>
      </c>
      <c r="J35">
        <f t="shared" si="1"/>
        <v>7</v>
      </c>
      <c r="K35" t="str">
        <f t="shared" si="9"/>
        <v>43.01 </v>
      </c>
      <c r="L35">
        <f t="shared" si="2"/>
        <v>487.21</v>
      </c>
      <c r="M35" t="str">
        <f t="shared" si="10"/>
        <v> T L</v>
      </c>
    </row>
    <row r="36" spans="1:13" ht="15">
      <c r="A36" t="s">
        <v>70</v>
      </c>
      <c r="B36" t="s">
        <v>256</v>
      </c>
      <c r="C36" t="s">
        <v>1007</v>
      </c>
      <c r="D36" t="s">
        <v>2649</v>
      </c>
      <c r="E36" t="s">
        <v>1008</v>
      </c>
      <c r="F36" t="s">
        <v>71</v>
      </c>
      <c r="G36" t="s">
        <v>579</v>
      </c>
      <c r="H36" t="s">
        <v>580</v>
      </c>
      <c r="I36" t="str">
        <f t="shared" si="8"/>
        <v>43.57 mi</v>
      </c>
      <c r="J36">
        <f t="shared" si="1"/>
        <v>7</v>
      </c>
      <c r="K36" t="str">
        <f t="shared" si="9"/>
        <v>43.57 </v>
      </c>
      <c r="L36">
        <f t="shared" si="2"/>
        <v>487.77</v>
      </c>
      <c r="M36" t="str">
        <f t="shared" si="10"/>
        <v> TL + QR</v>
      </c>
    </row>
    <row r="37" spans="1:13" ht="15">
      <c r="A37" t="s">
        <v>1009</v>
      </c>
      <c r="B37" t="s">
        <v>1648</v>
      </c>
      <c r="C37" t="s">
        <v>72</v>
      </c>
      <c r="D37" t="s">
        <v>3531</v>
      </c>
      <c r="E37" t="s">
        <v>73</v>
      </c>
      <c r="F37" t="s">
        <v>2324</v>
      </c>
      <c r="G37" t="s">
        <v>1603</v>
      </c>
      <c r="H37" t="s">
        <v>2650</v>
      </c>
      <c r="I37" t="str">
        <f t="shared" si="8"/>
        <v>45.63 mi</v>
      </c>
      <c r="J37">
        <f t="shared" si="1"/>
        <v>7</v>
      </c>
      <c r="K37" t="str">
        <f t="shared" si="9"/>
        <v>45.63 </v>
      </c>
      <c r="L37">
        <f t="shared" si="2"/>
        <v>489.83</v>
      </c>
      <c r="M37" t="str">
        <f t="shared" si="10"/>
        <v> T R</v>
      </c>
    </row>
    <row r="38" spans="1:13" ht="15">
      <c r="A38" t="s">
        <v>2325</v>
      </c>
      <c r="B38" t="s">
        <v>1646</v>
      </c>
      <c r="C38" t="s">
        <v>1010</v>
      </c>
      <c r="D38" t="s">
        <v>403</v>
      </c>
      <c r="E38" t="s">
        <v>2326</v>
      </c>
      <c r="F38" t="s">
        <v>2327</v>
      </c>
      <c r="G38" t="s">
        <v>443</v>
      </c>
      <c r="H38" t="s">
        <v>2648</v>
      </c>
      <c r="I38" t="str">
        <f t="shared" si="8"/>
        <v>47.03 mi</v>
      </c>
      <c r="J38">
        <f t="shared" si="1"/>
        <v>7</v>
      </c>
      <c r="K38" t="str">
        <f t="shared" si="9"/>
        <v>47.03 </v>
      </c>
      <c r="L38">
        <f t="shared" si="2"/>
        <v>491.23</v>
      </c>
      <c r="M38" t="str">
        <f t="shared" si="10"/>
        <v> X</v>
      </c>
    </row>
    <row r="39" spans="1:13" ht="15">
      <c r="A39" t="s">
        <v>1406</v>
      </c>
      <c r="B39" t="s">
        <v>2328</v>
      </c>
      <c r="C39" t="s">
        <v>2329</v>
      </c>
      <c r="D39" t="s">
        <v>1622</v>
      </c>
      <c r="E39" t="s">
        <v>2330</v>
      </c>
      <c r="F39" t="s">
        <v>2331</v>
      </c>
      <c r="G39" t="s">
        <v>1274</v>
      </c>
      <c r="H39" t="s">
        <v>1276</v>
      </c>
      <c r="I39" t="str">
        <f t="shared" si="8"/>
        <v>47.33 mi</v>
      </c>
      <c r="J39">
        <f t="shared" si="1"/>
        <v>7</v>
      </c>
      <c r="K39" t="str">
        <f t="shared" si="9"/>
        <v>47.33 </v>
      </c>
      <c r="L39">
        <f t="shared" si="2"/>
        <v>491.53</v>
      </c>
      <c r="M39" t="str">
        <f t="shared" si="10"/>
        <v> STOP </v>
      </c>
    </row>
    <row r="40" spans="1:13" ht="15">
      <c r="A40" t="s">
        <v>2332</v>
      </c>
      <c r="B40" t="s">
        <v>1623</v>
      </c>
      <c r="C40" t="s">
        <v>1407</v>
      </c>
      <c r="D40" t="s">
        <v>3165</v>
      </c>
      <c r="E40" t="s">
        <v>2333</v>
      </c>
      <c r="F40" t="s">
        <v>1408</v>
      </c>
      <c r="G40" t="s">
        <v>1274</v>
      </c>
      <c r="H40" t="s">
        <v>1275</v>
      </c>
      <c r="I40" t="str">
        <f t="shared" si="8"/>
        <v>47.34 mi</v>
      </c>
      <c r="J40">
        <f t="shared" si="1"/>
        <v>7</v>
      </c>
      <c r="K40" t="str">
        <f t="shared" si="9"/>
        <v>47.34 </v>
      </c>
      <c r="L40">
        <f t="shared" si="2"/>
        <v>491.53999999999996</v>
      </c>
      <c r="M40" t="str">
        <f t="shared" si="10"/>
        <v> Continue</v>
      </c>
    </row>
    <row r="41" spans="1:13" ht="15">
      <c r="A41" t="s">
        <v>1409</v>
      </c>
      <c r="B41" t="s">
        <v>1644</v>
      </c>
      <c r="C41" t="s">
        <v>1410</v>
      </c>
      <c r="D41" t="s">
        <v>12</v>
      </c>
      <c r="E41" t="s">
        <v>1411</v>
      </c>
      <c r="F41" t="s">
        <v>1412</v>
      </c>
      <c r="G41" t="s">
        <v>1413</v>
      </c>
      <c r="H41" t="s">
        <v>1414</v>
      </c>
      <c r="I41" t="str">
        <f t="shared" si="8"/>
        <v>48.55 mi</v>
      </c>
      <c r="J41">
        <f t="shared" si="1"/>
        <v>7</v>
      </c>
      <c r="K41" t="str">
        <f t="shared" si="9"/>
        <v>48.55 </v>
      </c>
      <c r="L41">
        <f t="shared" si="2"/>
        <v>492.75</v>
      </c>
      <c r="M41" t="str">
        <f t="shared" si="10"/>
        <v> L</v>
      </c>
    </row>
    <row r="42" spans="1:13" ht="15">
      <c r="A42" t="s">
        <v>1415</v>
      </c>
      <c r="B42" t="s">
        <v>1641</v>
      </c>
      <c r="C42" t="s">
        <v>362</v>
      </c>
      <c r="D42" t="s">
        <v>3572</v>
      </c>
      <c r="E42" t="s">
        <v>1416</v>
      </c>
      <c r="F42" t="s">
        <v>1417</v>
      </c>
      <c r="G42" t="s">
        <v>1418</v>
      </c>
      <c r="H42" t="s">
        <v>1419</v>
      </c>
      <c r="I42" t="str">
        <f t="shared" si="8"/>
        <v>48.79 mi</v>
      </c>
      <c r="J42">
        <f t="shared" si="1"/>
        <v>7</v>
      </c>
      <c r="K42" t="str">
        <f t="shared" si="9"/>
        <v>48.79 </v>
      </c>
      <c r="L42">
        <f t="shared" si="2"/>
        <v>492.99</v>
      </c>
      <c r="M42" t="str">
        <f t="shared" si="10"/>
        <v> R</v>
      </c>
    </row>
    <row r="43" spans="1:13" ht="15">
      <c r="A43" t="s">
        <v>365</v>
      </c>
      <c r="B43" t="s">
        <v>1646</v>
      </c>
      <c r="C43" t="s">
        <v>1420</v>
      </c>
      <c r="D43" t="s">
        <v>1593</v>
      </c>
      <c r="E43" t="s">
        <v>1421</v>
      </c>
      <c r="F43" t="s">
        <v>1422</v>
      </c>
      <c r="G43" t="s">
        <v>1423</v>
      </c>
      <c r="H43" t="s">
        <v>1424</v>
      </c>
      <c r="I43" t="str">
        <f t="shared" si="8"/>
        <v>48.95 mi</v>
      </c>
      <c r="J43">
        <f t="shared" si="1"/>
        <v>7</v>
      </c>
      <c r="K43" t="str">
        <f t="shared" si="9"/>
        <v>48.95 </v>
      </c>
      <c r="L43">
        <f t="shared" si="2"/>
        <v>493.15</v>
      </c>
      <c r="M43" t="str">
        <f t="shared" si="10"/>
        <v> X</v>
      </c>
    </row>
    <row r="44" spans="1:13" ht="15">
      <c r="A44" t="s">
        <v>1425</v>
      </c>
      <c r="B44" t="s">
        <v>1641</v>
      </c>
      <c r="C44" t="s">
        <v>2334</v>
      </c>
      <c r="D44" t="s">
        <v>403</v>
      </c>
      <c r="E44" t="s">
        <v>1426</v>
      </c>
      <c r="F44" t="s">
        <v>2335</v>
      </c>
      <c r="G44" t="s">
        <v>406</v>
      </c>
      <c r="H44" t="s">
        <v>405</v>
      </c>
      <c r="I44" t="str">
        <f t="shared" si="8"/>
        <v>49.22 mi</v>
      </c>
      <c r="J44">
        <f t="shared" si="1"/>
        <v>7</v>
      </c>
      <c r="K44" t="str">
        <f t="shared" si="9"/>
        <v>49.22 </v>
      </c>
      <c r="L44">
        <f t="shared" si="2"/>
        <v>493.41999999999996</v>
      </c>
      <c r="M44" t="str">
        <f t="shared" si="10"/>
        <v> R</v>
      </c>
    </row>
    <row r="45" spans="1:13" ht="15">
      <c r="A45" t="s">
        <v>2336</v>
      </c>
      <c r="B45" t="s">
        <v>525</v>
      </c>
      <c r="C45" t="s">
        <v>2337</v>
      </c>
      <c r="D45" t="s">
        <v>2472</v>
      </c>
      <c r="E45" t="s">
        <v>1427</v>
      </c>
      <c r="F45" t="s">
        <v>2338</v>
      </c>
      <c r="G45" t="s">
        <v>404</v>
      </c>
      <c r="H45" t="s">
        <v>405</v>
      </c>
      <c r="I45" t="str">
        <f t="shared" si="8"/>
        <v>49.52 mi</v>
      </c>
      <c r="J45">
        <f t="shared" si="1"/>
        <v>7</v>
      </c>
      <c r="K45" t="str">
        <f t="shared" si="9"/>
        <v>49.52 </v>
      </c>
      <c r="L45">
        <f t="shared" si="2"/>
        <v>493.71999999999997</v>
      </c>
      <c r="M45" t="str">
        <f t="shared" si="10"/>
        <v> BL</v>
      </c>
    </row>
    <row r="46" spans="1:13" ht="15">
      <c r="A46" t="s">
        <v>2339</v>
      </c>
      <c r="B46" t="s">
        <v>1336</v>
      </c>
      <c r="C46" t="s">
        <v>2340</v>
      </c>
      <c r="D46" t="s">
        <v>2341</v>
      </c>
      <c r="E46" t="s">
        <v>1428</v>
      </c>
      <c r="F46" t="s">
        <v>845</v>
      </c>
      <c r="G46" t="s">
        <v>401</v>
      </c>
      <c r="H46" t="s">
        <v>402</v>
      </c>
      <c r="I46" t="str">
        <f t="shared" si="8"/>
        <v>49.58 mi</v>
      </c>
      <c r="J46">
        <f t="shared" si="1"/>
        <v>7</v>
      </c>
      <c r="K46" t="str">
        <f t="shared" si="9"/>
        <v>49.58 </v>
      </c>
      <c r="L46">
        <f t="shared" si="2"/>
        <v>493.78</v>
      </c>
      <c r="M46" t="str">
        <f t="shared" si="10"/>
        <v> QR</v>
      </c>
    </row>
    <row r="47" spans="1:13" ht="15">
      <c r="A47" t="s">
        <v>2342</v>
      </c>
      <c r="B47" t="s">
        <v>2343</v>
      </c>
      <c r="C47" t="s">
        <v>1429</v>
      </c>
      <c r="D47" t="s">
        <v>1430</v>
      </c>
      <c r="E47" t="s">
        <v>1431</v>
      </c>
      <c r="F47" t="s">
        <v>1432</v>
      </c>
      <c r="G47" t="s">
        <v>1378</v>
      </c>
      <c r="H47" t="s">
        <v>1379</v>
      </c>
      <c r="I47" t="str">
        <f t="shared" si="8"/>
        <v>61.92 mi</v>
      </c>
      <c r="J47">
        <f t="shared" si="1"/>
        <v>7</v>
      </c>
      <c r="K47" t="str">
        <f t="shared" si="9"/>
        <v>61.92 </v>
      </c>
      <c r="L47">
        <f t="shared" si="2"/>
        <v>506.12</v>
      </c>
      <c r="M47" t="str">
        <f t="shared" si="10"/>
        <v> sharp L</v>
      </c>
    </row>
    <row r="48" spans="1:13" ht="15">
      <c r="A48" t="s">
        <v>1433</v>
      </c>
      <c r="B48" t="s">
        <v>2344</v>
      </c>
      <c r="C48" t="s">
        <v>2345</v>
      </c>
      <c r="D48" t="s">
        <v>3432</v>
      </c>
      <c r="E48" t="s">
        <v>1434</v>
      </c>
      <c r="F48" t="s">
        <v>2346</v>
      </c>
      <c r="G48" t="s">
        <v>384</v>
      </c>
      <c r="H48" t="s">
        <v>385</v>
      </c>
      <c r="I48" t="str">
        <f t="shared" si="8"/>
        <v>72.49 mi</v>
      </c>
      <c r="J48">
        <f t="shared" si="1"/>
        <v>7</v>
      </c>
      <c r="K48" t="str">
        <f t="shared" si="9"/>
        <v>72.49 </v>
      </c>
      <c r="L48">
        <f t="shared" si="2"/>
        <v>516.6899999999999</v>
      </c>
      <c r="M48" t="str">
        <f t="shared" si="10"/>
        <v> ***BL</v>
      </c>
    </row>
    <row r="49" spans="1:13" ht="15">
      <c r="A49" t="s">
        <v>2347</v>
      </c>
      <c r="B49" t="s">
        <v>1647</v>
      </c>
      <c r="C49" t="s">
        <v>2348</v>
      </c>
      <c r="D49" t="s">
        <v>1956</v>
      </c>
      <c r="E49" t="s">
        <v>1435</v>
      </c>
      <c r="F49" t="s">
        <v>2349</v>
      </c>
      <c r="G49" t="s">
        <v>382</v>
      </c>
      <c r="H49" t="s">
        <v>383</v>
      </c>
      <c r="I49" t="str">
        <f t="shared" si="8"/>
        <v>73.21 mi</v>
      </c>
      <c r="J49">
        <f t="shared" si="1"/>
        <v>7</v>
      </c>
      <c r="K49" t="str">
        <f t="shared" si="9"/>
        <v>73.21 </v>
      </c>
      <c r="L49">
        <f t="shared" si="2"/>
        <v>517.41</v>
      </c>
      <c r="M49" t="str">
        <f t="shared" si="10"/>
        <v> T L</v>
      </c>
    </row>
    <row r="50" spans="1:13" ht="15">
      <c r="A50" t="s">
        <v>2350</v>
      </c>
      <c r="B50" t="s">
        <v>1641</v>
      </c>
      <c r="C50" t="s">
        <v>1436</v>
      </c>
      <c r="D50" t="s">
        <v>3572</v>
      </c>
      <c r="E50" t="s">
        <v>1437</v>
      </c>
      <c r="F50" t="s">
        <v>2351</v>
      </c>
      <c r="G50" t="s">
        <v>1957</v>
      </c>
      <c r="H50" t="s">
        <v>1958</v>
      </c>
      <c r="I50" t="str">
        <f t="shared" si="8"/>
        <v>83.26 mi</v>
      </c>
      <c r="J50">
        <f t="shared" si="1"/>
        <v>7</v>
      </c>
      <c r="K50" t="str">
        <f t="shared" si="9"/>
        <v>83.26 </v>
      </c>
      <c r="L50">
        <f t="shared" si="2"/>
        <v>527.46</v>
      </c>
      <c r="M50" t="str">
        <f t="shared" si="10"/>
        <v> R</v>
      </c>
    </row>
    <row r="51" spans="1:13" ht="15">
      <c r="A51" t="s">
        <v>1438</v>
      </c>
      <c r="B51" t="s">
        <v>1643</v>
      </c>
      <c r="C51" t="s">
        <v>1439</v>
      </c>
      <c r="D51" t="s">
        <v>3430</v>
      </c>
      <c r="E51" t="s">
        <v>1440</v>
      </c>
      <c r="F51" t="s">
        <v>2352</v>
      </c>
      <c r="G51" t="s">
        <v>1797</v>
      </c>
      <c r="H51" t="s">
        <v>1955</v>
      </c>
      <c r="I51" t="str">
        <f t="shared" si="8"/>
        <v>83.42 mi</v>
      </c>
      <c r="J51">
        <f t="shared" si="1"/>
        <v>7</v>
      </c>
      <c r="K51" t="str">
        <f t="shared" si="9"/>
        <v>83.42 </v>
      </c>
      <c r="L51">
        <f t="shared" si="2"/>
        <v>527.62</v>
      </c>
      <c r="M51" t="str">
        <f t="shared" si="10"/>
        <v> 1st L</v>
      </c>
    </row>
    <row r="52" spans="1:13" ht="15">
      <c r="A52" t="s">
        <v>1441</v>
      </c>
      <c r="B52" t="s">
        <v>1641</v>
      </c>
      <c r="C52" t="s">
        <v>362</v>
      </c>
      <c r="D52" t="s">
        <v>1790</v>
      </c>
      <c r="E52" t="s">
        <v>1442</v>
      </c>
      <c r="F52" t="s">
        <v>2353</v>
      </c>
      <c r="G52" t="s">
        <v>1953</v>
      </c>
      <c r="H52" t="s">
        <v>1954</v>
      </c>
      <c r="I52" t="str">
        <f aca="true" t="shared" si="11" ref="I52:I64">TRIM(E52)</f>
        <v>85.04 mi</v>
      </c>
      <c r="J52">
        <f t="shared" si="1"/>
        <v>7</v>
      </c>
      <c r="K52" t="str">
        <f aca="true" t="shared" si="12" ref="K52:K64">LEFT(I52,J52-1)</f>
        <v>85.04 </v>
      </c>
      <c r="L52">
        <f t="shared" si="2"/>
        <v>529.24</v>
      </c>
      <c r="M52" t="str">
        <f aca="true" t="shared" si="13" ref="M52:M64">IF(B52&lt;&gt;" ???",B52,$M$1)</f>
        <v> R</v>
      </c>
    </row>
    <row r="53" spans="1:13" ht="15">
      <c r="A53" t="s">
        <v>365</v>
      </c>
      <c r="B53" t="s">
        <v>1646</v>
      </c>
      <c r="C53" t="s">
        <v>2354</v>
      </c>
      <c r="D53" t="s">
        <v>1610</v>
      </c>
      <c r="E53" t="s">
        <v>1443</v>
      </c>
      <c r="F53" t="s">
        <v>2355</v>
      </c>
      <c r="G53" t="s">
        <v>2356</v>
      </c>
      <c r="H53" t="s">
        <v>2357</v>
      </c>
      <c r="I53" t="str">
        <f t="shared" si="11"/>
        <v>86.37 mi</v>
      </c>
      <c r="J53">
        <f t="shared" si="1"/>
        <v>7</v>
      </c>
      <c r="K53" t="str">
        <f t="shared" si="12"/>
        <v>86.37 </v>
      </c>
      <c r="L53">
        <f t="shared" si="2"/>
        <v>530.5699999999999</v>
      </c>
      <c r="M53" t="str">
        <f t="shared" si="13"/>
        <v> X</v>
      </c>
    </row>
    <row r="54" spans="1:13" ht="15">
      <c r="A54" t="s">
        <v>2358</v>
      </c>
      <c r="B54" t="s">
        <v>1631</v>
      </c>
      <c r="C54" t="s">
        <v>2359</v>
      </c>
      <c r="D54" t="s">
        <v>1267</v>
      </c>
      <c r="E54" t="s">
        <v>1444</v>
      </c>
      <c r="F54" t="s">
        <v>2360</v>
      </c>
      <c r="G54" t="s">
        <v>1951</v>
      </c>
      <c r="H54" t="s">
        <v>1950</v>
      </c>
      <c r="I54" t="str">
        <f t="shared" si="11"/>
        <v>86.74 mi</v>
      </c>
      <c r="J54">
        <f t="shared" si="1"/>
        <v>7</v>
      </c>
      <c r="K54" t="str">
        <f t="shared" si="12"/>
        <v>86.74 </v>
      </c>
      <c r="L54">
        <f t="shared" si="2"/>
        <v>530.9399999999999</v>
      </c>
      <c r="M54" t="str">
        <f t="shared" si="13"/>
        <v> Straight</v>
      </c>
    </row>
    <row r="55" spans="1:13" ht="15">
      <c r="A55" t="s">
        <v>2361</v>
      </c>
      <c r="B55" t="s">
        <v>1641</v>
      </c>
      <c r="C55" t="s">
        <v>127</v>
      </c>
      <c r="D55" t="s">
        <v>1619</v>
      </c>
      <c r="E55" t="s">
        <v>133</v>
      </c>
      <c r="F55" t="s">
        <v>128</v>
      </c>
      <c r="G55" t="s">
        <v>129</v>
      </c>
      <c r="H55" t="s">
        <v>130</v>
      </c>
      <c r="I55" t="str">
        <f t="shared" si="11"/>
        <v>87.00 mi</v>
      </c>
      <c r="J55">
        <f t="shared" si="1"/>
        <v>7</v>
      </c>
      <c r="K55" t="str">
        <f t="shared" si="12"/>
        <v>87.00 </v>
      </c>
      <c r="L55">
        <f t="shared" si="2"/>
        <v>531.2</v>
      </c>
      <c r="M55" t="str">
        <f t="shared" si="13"/>
        <v> R</v>
      </c>
    </row>
    <row r="56" spans="1:13" ht="15">
      <c r="A56" t="s">
        <v>131</v>
      </c>
      <c r="B56" t="s">
        <v>1669</v>
      </c>
      <c r="C56" t="s">
        <v>132</v>
      </c>
      <c r="D56" t="s">
        <v>2226</v>
      </c>
      <c r="E56" t="s">
        <v>1445</v>
      </c>
      <c r="F56" t="s">
        <v>134</v>
      </c>
      <c r="G56" t="s">
        <v>1948</v>
      </c>
      <c r="H56" t="s">
        <v>135</v>
      </c>
      <c r="I56" t="str">
        <f t="shared" si="11"/>
        <v>87.02 mi</v>
      </c>
      <c r="J56">
        <f t="shared" si="1"/>
        <v>7</v>
      </c>
      <c r="K56" t="str">
        <f t="shared" si="12"/>
        <v>87.02 </v>
      </c>
      <c r="L56">
        <f t="shared" si="2"/>
        <v>531.22</v>
      </c>
      <c r="M56" t="str">
        <f t="shared" si="13"/>
        <v> STOP</v>
      </c>
    </row>
    <row r="57" spans="1:13" ht="15">
      <c r="A57" t="s">
        <v>136</v>
      </c>
      <c r="B57" t="s">
        <v>1623</v>
      </c>
      <c r="C57" t="s">
        <v>137</v>
      </c>
      <c r="D57" t="s">
        <v>3526</v>
      </c>
      <c r="E57" t="s">
        <v>1446</v>
      </c>
      <c r="F57" t="s">
        <v>138</v>
      </c>
      <c r="G57" t="s">
        <v>1948</v>
      </c>
      <c r="H57" t="s">
        <v>1949</v>
      </c>
      <c r="I57" t="str">
        <f t="shared" si="11"/>
        <v>87.04 mi</v>
      </c>
      <c r="J57">
        <f t="shared" si="1"/>
        <v>7</v>
      </c>
      <c r="K57" t="str">
        <f t="shared" si="12"/>
        <v>87.04 </v>
      </c>
      <c r="L57">
        <f t="shared" si="2"/>
        <v>531.24</v>
      </c>
      <c r="M57" t="str">
        <f t="shared" si="13"/>
        <v> Continue</v>
      </c>
    </row>
    <row r="58" spans="1:13" ht="15">
      <c r="A58" t="s">
        <v>139</v>
      </c>
      <c r="B58" t="s">
        <v>525</v>
      </c>
      <c r="C58" t="s">
        <v>1447</v>
      </c>
      <c r="D58" t="s">
        <v>1652</v>
      </c>
      <c r="E58" t="s">
        <v>1448</v>
      </c>
      <c r="F58" t="s">
        <v>140</v>
      </c>
      <c r="G58" t="s">
        <v>141</v>
      </c>
      <c r="H58" t="s">
        <v>380</v>
      </c>
      <c r="I58" t="str">
        <f t="shared" si="11"/>
        <v>87.45 mi</v>
      </c>
      <c r="J58">
        <f t="shared" si="1"/>
        <v>7</v>
      </c>
      <c r="K58" t="str">
        <f t="shared" si="12"/>
        <v>87.45 </v>
      </c>
      <c r="L58">
        <f t="shared" si="2"/>
        <v>531.65</v>
      </c>
      <c r="M58" t="str">
        <f t="shared" si="13"/>
        <v> BL</v>
      </c>
    </row>
    <row r="59" spans="1:13" ht="15">
      <c r="A59" t="s">
        <v>1449</v>
      </c>
      <c r="B59" t="s">
        <v>1647</v>
      </c>
      <c r="C59" t="s">
        <v>1450</v>
      </c>
      <c r="D59" t="s">
        <v>377</v>
      </c>
      <c r="E59" t="s">
        <v>1451</v>
      </c>
      <c r="F59" t="s">
        <v>142</v>
      </c>
      <c r="G59" t="s">
        <v>379</v>
      </c>
      <c r="H59" t="s">
        <v>380</v>
      </c>
      <c r="I59" t="str">
        <f t="shared" si="11"/>
        <v>87.59 mi</v>
      </c>
      <c r="J59">
        <f t="shared" si="1"/>
        <v>7</v>
      </c>
      <c r="K59" t="str">
        <f t="shared" si="12"/>
        <v>87.59 </v>
      </c>
      <c r="L59">
        <f t="shared" si="2"/>
        <v>531.79</v>
      </c>
      <c r="M59" t="str">
        <f t="shared" si="13"/>
        <v> T L</v>
      </c>
    </row>
    <row r="60" spans="1:13" ht="15">
      <c r="A60" t="s">
        <v>1452</v>
      </c>
      <c r="B60" t="s">
        <v>1184</v>
      </c>
      <c r="C60" t="s">
        <v>143</v>
      </c>
      <c r="D60" t="s">
        <v>2489</v>
      </c>
      <c r="E60" t="s">
        <v>1453</v>
      </c>
      <c r="F60" t="s">
        <v>144</v>
      </c>
      <c r="G60" t="s">
        <v>3499</v>
      </c>
      <c r="H60" t="s">
        <v>378</v>
      </c>
      <c r="I60" t="str">
        <f t="shared" si="11"/>
        <v>90.19 mi</v>
      </c>
      <c r="J60">
        <f t="shared" si="1"/>
        <v>7</v>
      </c>
      <c r="K60" t="str">
        <f t="shared" si="12"/>
        <v>90.19 </v>
      </c>
      <c r="L60">
        <f t="shared" si="2"/>
        <v>534.39</v>
      </c>
      <c r="M60" t="str">
        <f t="shared" si="13"/>
        <v> 1st BL</v>
      </c>
    </row>
    <row r="61" spans="1:13" ht="15">
      <c r="A61" t="s">
        <v>145</v>
      </c>
      <c r="B61" t="s">
        <v>1643</v>
      </c>
      <c r="C61" t="s">
        <v>146</v>
      </c>
      <c r="D61" t="s">
        <v>2482</v>
      </c>
      <c r="E61" t="s">
        <v>1454</v>
      </c>
      <c r="F61" t="s">
        <v>147</v>
      </c>
      <c r="G61" t="s">
        <v>375</v>
      </c>
      <c r="H61" t="s">
        <v>376</v>
      </c>
      <c r="I61" t="str">
        <f t="shared" si="11"/>
        <v>90.90 mi</v>
      </c>
      <c r="J61">
        <f t="shared" si="1"/>
        <v>7</v>
      </c>
      <c r="K61" t="str">
        <f t="shared" si="12"/>
        <v>90.90 </v>
      </c>
      <c r="L61">
        <f t="shared" si="2"/>
        <v>535.1</v>
      </c>
      <c r="M61" t="str">
        <f t="shared" si="13"/>
        <v> 1st L</v>
      </c>
    </row>
    <row r="62" spans="1:13" ht="15">
      <c r="A62" t="s">
        <v>148</v>
      </c>
      <c r="B62" t="s">
        <v>2380</v>
      </c>
      <c r="C62" t="s">
        <v>1455</v>
      </c>
      <c r="D62" t="s">
        <v>2488</v>
      </c>
      <c r="E62" t="s">
        <v>1456</v>
      </c>
      <c r="F62" t="s">
        <v>1457</v>
      </c>
      <c r="G62" t="s">
        <v>373</v>
      </c>
      <c r="H62" t="s">
        <v>374</v>
      </c>
      <c r="I62" t="str">
        <f t="shared" si="11"/>
        <v>91.07 mi</v>
      </c>
      <c r="J62">
        <f t="shared" si="1"/>
        <v>7</v>
      </c>
      <c r="K62" t="str">
        <f t="shared" si="12"/>
        <v>91.07 </v>
      </c>
      <c r="L62">
        <f t="shared" si="2"/>
        <v>535.27</v>
      </c>
      <c r="M62" t="str">
        <f t="shared" si="13"/>
        <v> BR</v>
      </c>
    </row>
    <row r="63" spans="1:13" ht="15">
      <c r="A63" t="s">
        <v>1458</v>
      </c>
      <c r="B63" t="s">
        <v>1631</v>
      </c>
      <c r="C63" t="s">
        <v>1459</v>
      </c>
      <c r="D63" t="s">
        <v>3424</v>
      </c>
      <c r="E63" t="s">
        <v>1460</v>
      </c>
      <c r="F63" t="s">
        <v>1461</v>
      </c>
      <c r="G63" t="s">
        <v>1512</v>
      </c>
      <c r="H63" t="s">
        <v>1462</v>
      </c>
      <c r="I63" t="str">
        <f t="shared" si="11"/>
        <v>91.17 mi</v>
      </c>
      <c r="J63">
        <f t="shared" si="1"/>
        <v>7</v>
      </c>
      <c r="K63" t="str">
        <f t="shared" si="12"/>
        <v>91.17 </v>
      </c>
      <c r="L63">
        <f t="shared" si="2"/>
        <v>535.37</v>
      </c>
      <c r="M63" t="str">
        <f t="shared" si="13"/>
        <v> Straight</v>
      </c>
    </row>
    <row r="64" spans="1:13" ht="15">
      <c r="A64" t="s">
        <v>1463</v>
      </c>
      <c r="B64" t="s">
        <v>1641</v>
      </c>
      <c r="C64" t="s">
        <v>1464</v>
      </c>
      <c r="D64" t="s">
        <v>3106</v>
      </c>
      <c r="E64" t="s">
        <v>1465</v>
      </c>
      <c r="F64" t="s">
        <v>149</v>
      </c>
      <c r="G64" t="s">
        <v>371</v>
      </c>
      <c r="H64" t="s">
        <v>372</v>
      </c>
      <c r="I64" t="str">
        <f t="shared" si="11"/>
        <v>91.25 mi</v>
      </c>
      <c r="J64">
        <f t="shared" si="1"/>
        <v>7</v>
      </c>
      <c r="K64" t="str">
        <f t="shared" si="12"/>
        <v>91.25 </v>
      </c>
      <c r="L64">
        <f t="shared" si="2"/>
        <v>535.45</v>
      </c>
      <c r="M64" t="str">
        <f t="shared" si="13"/>
        <v> R</v>
      </c>
    </row>
    <row r="65" spans="1:13" ht="15">
      <c r="A65" t="s">
        <v>1466</v>
      </c>
      <c r="B65" t="s">
        <v>525</v>
      </c>
      <c r="C65" t="s">
        <v>1467</v>
      </c>
      <c r="D65" t="s">
        <v>253</v>
      </c>
      <c r="E65" t="s">
        <v>1468</v>
      </c>
      <c r="F65" t="s">
        <v>150</v>
      </c>
      <c r="G65" t="s">
        <v>370</v>
      </c>
      <c r="H65" t="s">
        <v>364</v>
      </c>
      <c r="I65" t="str">
        <f aca="true" t="shared" si="14" ref="I65:I92">TRIM(E65)</f>
        <v>91.93 mi</v>
      </c>
      <c r="J65">
        <f t="shared" si="1"/>
        <v>7</v>
      </c>
      <c r="K65" t="str">
        <f aca="true" t="shared" si="15" ref="K65:K92">LEFT(I65,J65-1)</f>
        <v>91.93 </v>
      </c>
      <c r="L65">
        <f t="shared" si="2"/>
        <v>536.13</v>
      </c>
      <c r="M65" t="str">
        <f aca="true" t="shared" si="16" ref="M65:M92">IF(B65&lt;&gt;" ???",B65,$M$1)</f>
        <v> BL</v>
      </c>
    </row>
    <row r="66" spans="1:13" ht="15">
      <c r="A66" t="s">
        <v>1469</v>
      </c>
      <c r="B66" t="s">
        <v>1651</v>
      </c>
      <c r="C66" t="s">
        <v>151</v>
      </c>
      <c r="D66" t="s">
        <v>1605</v>
      </c>
      <c r="E66" t="s">
        <v>1470</v>
      </c>
      <c r="F66" t="s">
        <v>152</v>
      </c>
      <c r="G66" t="s">
        <v>368</v>
      </c>
      <c r="H66" t="s">
        <v>369</v>
      </c>
      <c r="I66" t="str">
        <f t="shared" si="14"/>
        <v>92.80 mi</v>
      </c>
      <c r="J66">
        <f aca="true" t="shared" si="17" ref="J66:J94">FIND("mi",I66)</f>
        <v>7</v>
      </c>
      <c r="K66" t="str">
        <f t="shared" si="15"/>
        <v>92.80 </v>
      </c>
      <c r="L66">
        <f aca="true" t="shared" si="18" ref="L66:L94">$L$1+K66</f>
        <v>537</v>
      </c>
      <c r="M66" t="str">
        <f t="shared" si="16"/>
        <v> 1st R</v>
      </c>
    </row>
    <row r="67" spans="1:13" ht="15">
      <c r="A67" t="s">
        <v>153</v>
      </c>
      <c r="B67" t="s">
        <v>1648</v>
      </c>
      <c r="C67" t="s">
        <v>154</v>
      </c>
      <c r="D67" t="s">
        <v>1605</v>
      </c>
      <c r="E67" t="s">
        <v>1471</v>
      </c>
      <c r="F67" t="s">
        <v>101</v>
      </c>
      <c r="G67" t="s">
        <v>366</v>
      </c>
      <c r="H67" t="s">
        <v>367</v>
      </c>
      <c r="I67" t="str">
        <f t="shared" si="14"/>
        <v>94.06 mi</v>
      </c>
      <c r="J67">
        <f t="shared" si="17"/>
        <v>7</v>
      </c>
      <c r="K67" t="str">
        <f t="shared" si="15"/>
        <v>94.06 </v>
      </c>
      <c r="L67">
        <f t="shared" si="18"/>
        <v>538.26</v>
      </c>
      <c r="M67" t="str">
        <f t="shared" si="16"/>
        <v> T R</v>
      </c>
    </row>
    <row r="68" spans="1:13" ht="15">
      <c r="A68" t="s">
        <v>102</v>
      </c>
      <c r="B68" t="s">
        <v>1646</v>
      </c>
      <c r="C68" t="s">
        <v>103</v>
      </c>
      <c r="D68" t="s">
        <v>2499</v>
      </c>
      <c r="E68" t="s">
        <v>1472</v>
      </c>
      <c r="F68" t="s">
        <v>104</v>
      </c>
      <c r="G68" t="s">
        <v>105</v>
      </c>
      <c r="H68" t="s">
        <v>372</v>
      </c>
      <c r="I68" t="str">
        <f t="shared" si="14"/>
        <v>95.31 mi</v>
      </c>
      <c r="J68">
        <f t="shared" si="17"/>
        <v>7</v>
      </c>
      <c r="K68" t="str">
        <f t="shared" si="15"/>
        <v>95.31 </v>
      </c>
      <c r="L68">
        <f t="shared" si="18"/>
        <v>539.51</v>
      </c>
      <c r="M68" t="str">
        <f t="shared" si="16"/>
        <v> X</v>
      </c>
    </row>
    <row r="69" spans="1:13" ht="15">
      <c r="A69" t="s">
        <v>106</v>
      </c>
      <c r="B69" t="s">
        <v>1648</v>
      </c>
      <c r="C69" t="s">
        <v>1473</v>
      </c>
      <c r="D69" t="s">
        <v>2490</v>
      </c>
      <c r="E69" t="s">
        <v>1474</v>
      </c>
      <c r="F69" t="s">
        <v>107</v>
      </c>
      <c r="G69" t="s">
        <v>1359</v>
      </c>
      <c r="H69" t="s">
        <v>108</v>
      </c>
      <c r="I69" t="str">
        <f t="shared" si="14"/>
        <v>95.59 mi</v>
      </c>
      <c r="J69">
        <f t="shared" si="17"/>
        <v>7</v>
      </c>
      <c r="K69" t="str">
        <f t="shared" si="15"/>
        <v>95.59 </v>
      </c>
      <c r="L69">
        <f t="shared" si="18"/>
        <v>539.79</v>
      </c>
      <c r="M69" t="str">
        <f t="shared" si="16"/>
        <v> T R</v>
      </c>
    </row>
    <row r="70" spans="1:13" ht="15">
      <c r="A70" t="s">
        <v>1475</v>
      </c>
      <c r="B70" t="s">
        <v>1650</v>
      </c>
      <c r="C70" t="s">
        <v>109</v>
      </c>
      <c r="D70" t="s">
        <v>110</v>
      </c>
      <c r="E70" t="s">
        <v>1476</v>
      </c>
      <c r="F70" t="s">
        <v>111</v>
      </c>
      <c r="G70" t="s">
        <v>363</v>
      </c>
      <c r="H70" t="s">
        <v>112</v>
      </c>
      <c r="I70" t="str">
        <f t="shared" si="14"/>
        <v>95.71 mi</v>
      </c>
      <c r="J70">
        <f t="shared" si="17"/>
        <v>7</v>
      </c>
      <c r="K70" t="str">
        <f t="shared" si="15"/>
        <v>95.71 </v>
      </c>
      <c r="L70">
        <f t="shared" si="18"/>
        <v>539.91</v>
      </c>
      <c r="M70" t="str">
        <f t="shared" si="16"/>
        <v> Pass</v>
      </c>
    </row>
    <row r="71" spans="1:13" ht="15">
      <c r="A71" t="s">
        <v>158</v>
      </c>
      <c r="B71" t="s">
        <v>2126</v>
      </c>
      <c r="C71" t="s">
        <v>159</v>
      </c>
      <c r="D71" t="s">
        <v>396</v>
      </c>
      <c r="E71" t="s">
        <v>1477</v>
      </c>
      <c r="F71" t="s">
        <v>160</v>
      </c>
      <c r="G71" t="s">
        <v>399</v>
      </c>
      <c r="H71" t="s">
        <v>400</v>
      </c>
      <c r="I71" t="str">
        <f t="shared" si="14"/>
        <v>96.03 mi</v>
      </c>
      <c r="J71">
        <f t="shared" si="17"/>
        <v>7</v>
      </c>
      <c r="K71" t="str">
        <f t="shared" si="15"/>
        <v>96.03 </v>
      </c>
      <c r="L71">
        <f t="shared" si="18"/>
        <v>540.23</v>
      </c>
      <c r="M71" t="str">
        <f t="shared" si="16"/>
        <v> 2nd L</v>
      </c>
    </row>
    <row r="72" spans="1:13" ht="15">
      <c r="A72" t="s">
        <v>161</v>
      </c>
      <c r="B72" t="s">
        <v>1648</v>
      </c>
      <c r="C72" t="s">
        <v>162</v>
      </c>
      <c r="D72" t="s">
        <v>163</v>
      </c>
      <c r="E72" t="s">
        <v>1478</v>
      </c>
      <c r="F72" t="s">
        <v>164</v>
      </c>
      <c r="G72" t="s">
        <v>397</v>
      </c>
      <c r="H72" t="s">
        <v>398</v>
      </c>
      <c r="I72" t="str">
        <f t="shared" si="14"/>
        <v>102.03 mi</v>
      </c>
      <c r="J72">
        <f t="shared" si="17"/>
        <v>8</v>
      </c>
      <c r="K72" t="str">
        <f t="shared" si="15"/>
        <v>102.03 </v>
      </c>
      <c r="L72">
        <f t="shared" si="18"/>
        <v>546.23</v>
      </c>
      <c r="M72" t="str">
        <f t="shared" si="16"/>
        <v> T R</v>
      </c>
    </row>
    <row r="73" spans="1:13" ht="15">
      <c r="A73" t="s">
        <v>165</v>
      </c>
      <c r="B73" t="s">
        <v>1648</v>
      </c>
      <c r="C73" t="s">
        <v>166</v>
      </c>
      <c r="D73" t="s">
        <v>390</v>
      </c>
      <c r="E73" t="s">
        <v>1479</v>
      </c>
      <c r="F73" t="s">
        <v>167</v>
      </c>
      <c r="G73" t="s">
        <v>393</v>
      </c>
      <c r="H73" t="s">
        <v>394</v>
      </c>
      <c r="I73" t="str">
        <f t="shared" si="14"/>
        <v>108.91 mi</v>
      </c>
      <c r="J73">
        <f t="shared" si="17"/>
        <v>8</v>
      </c>
      <c r="K73" t="str">
        <f t="shared" si="15"/>
        <v>108.91 </v>
      </c>
      <c r="L73">
        <f t="shared" si="18"/>
        <v>553.11</v>
      </c>
      <c r="M73" t="str">
        <f t="shared" si="16"/>
        <v> T R</v>
      </c>
    </row>
    <row r="74" spans="1:13" ht="15">
      <c r="A74" t="s">
        <v>168</v>
      </c>
      <c r="B74" t="s">
        <v>2380</v>
      </c>
      <c r="C74" t="s">
        <v>169</v>
      </c>
      <c r="D74" t="s">
        <v>170</v>
      </c>
      <c r="E74" t="s">
        <v>1480</v>
      </c>
      <c r="F74" t="s">
        <v>171</v>
      </c>
      <c r="G74" t="s">
        <v>391</v>
      </c>
      <c r="H74" t="s">
        <v>392</v>
      </c>
      <c r="I74" t="str">
        <f t="shared" si="14"/>
        <v>114.18 mi</v>
      </c>
      <c r="J74">
        <f t="shared" si="17"/>
        <v>8</v>
      </c>
      <c r="K74" t="str">
        <f t="shared" si="15"/>
        <v>114.18 </v>
      </c>
      <c r="L74">
        <f t="shared" si="18"/>
        <v>558.38</v>
      </c>
      <c r="M74" t="str">
        <f t="shared" si="16"/>
        <v> BR</v>
      </c>
    </row>
    <row r="75" spans="1:13" ht="15">
      <c r="A75" t="s">
        <v>172</v>
      </c>
      <c r="B75" t="s">
        <v>1650</v>
      </c>
      <c r="C75" t="s">
        <v>173</v>
      </c>
      <c r="D75" t="s">
        <v>174</v>
      </c>
      <c r="E75" t="s">
        <v>1481</v>
      </c>
      <c r="F75" t="s">
        <v>3008</v>
      </c>
      <c r="G75" t="s">
        <v>175</v>
      </c>
      <c r="H75" t="s">
        <v>2576</v>
      </c>
      <c r="I75" t="str">
        <f t="shared" si="14"/>
        <v>118.90 mi</v>
      </c>
      <c r="J75">
        <f t="shared" si="17"/>
        <v>8</v>
      </c>
      <c r="K75" t="str">
        <f t="shared" si="15"/>
        <v>118.90 </v>
      </c>
      <c r="L75">
        <f t="shared" si="18"/>
        <v>563.1</v>
      </c>
      <c r="M75" t="str">
        <f t="shared" si="16"/>
        <v> Pass</v>
      </c>
    </row>
    <row r="76" spans="1:13" ht="15">
      <c r="A76" t="s">
        <v>176</v>
      </c>
      <c r="B76" t="s">
        <v>1650</v>
      </c>
      <c r="C76" t="s">
        <v>177</v>
      </c>
      <c r="D76" t="s">
        <v>810</v>
      </c>
      <c r="E76" t="s">
        <v>1482</v>
      </c>
      <c r="F76" t="s">
        <v>178</v>
      </c>
      <c r="G76" t="s">
        <v>1947</v>
      </c>
      <c r="H76" t="s">
        <v>394</v>
      </c>
      <c r="I76" t="str">
        <f t="shared" si="14"/>
        <v>122.50 mi</v>
      </c>
      <c r="J76">
        <f t="shared" si="17"/>
        <v>8</v>
      </c>
      <c r="K76" t="str">
        <f t="shared" si="15"/>
        <v>122.50 </v>
      </c>
      <c r="L76">
        <f t="shared" si="18"/>
        <v>566.7</v>
      </c>
      <c r="M76" t="str">
        <f t="shared" si="16"/>
        <v> Pass</v>
      </c>
    </row>
    <row r="77" spans="1:13" ht="15">
      <c r="A77" t="s">
        <v>179</v>
      </c>
      <c r="B77" t="s">
        <v>1669</v>
      </c>
      <c r="C77" t="s">
        <v>180</v>
      </c>
      <c r="D77" t="s">
        <v>2226</v>
      </c>
      <c r="E77" t="s">
        <v>1483</v>
      </c>
      <c r="F77" t="s">
        <v>181</v>
      </c>
      <c r="G77" t="s">
        <v>1599</v>
      </c>
      <c r="H77" t="s">
        <v>389</v>
      </c>
      <c r="I77" t="str">
        <f t="shared" si="14"/>
        <v>124.64 mi</v>
      </c>
      <c r="J77">
        <f t="shared" si="17"/>
        <v>8</v>
      </c>
      <c r="K77" t="str">
        <f t="shared" si="15"/>
        <v>124.64 </v>
      </c>
      <c r="L77">
        <f t="shared" si="18"/>
        <v>568.84</v>
      </c>
      <c r="M77" t="str">
        <f t="shared" si="16"/>
        <v> STOP</v>
      </c>
    </row>
    <row r="78" spans="1:13" ht="15">
      <c r="A78" t="s">
        <v>182</v>
      </c>
      <c r="B78" t="s">
        <v>1623</v>
      </c>
      <c r="C78" t="s">
        <v>183</v>
      </c>
      <c r="D78" t="s">
        <v>3152</v>
      </c>
      <c r="E78" t="s">
        <v>1484</v>
      </c>
      <c r="F78" t="s">
        <v>184</v>
      </c>
      <c r="G78" t="s">
        <v>1599</v>
      </c>
      <c r="H78" t="s">
        <v>389</v>
      </c>
      <c r="I78" t="str">
        <f t="shared" si="14"/>
        <v>124.65 mi</v>
      </c>
      <c r="J78">
        <f t="shared" si="17"/>
        <v>8</v>
      </c>
      <c r="K78" t="str">
        <f t="shared" si="15"/>
        <v>124.65 </v>
      </c>
      <c r="L78">
        <f t="shared" si="18"/>
        <v>568.85</v>
      </c>
      <c r="M78" t="str">
        <f t="shared" si="16"/>
        <v> Continue</v>
      </c>
    </row>
    <row r="79" spans="1:13" ht="15">
      <c r="A79" t="s">
        <v>185</v>
      </c>
      <c r="B79" t="s">
        <v>2380</v>
      </c>
      <c r="C79" t="s">
        <v>186</v>
      </c>
      <c r="D79" t="s">
        <v>1943</v>
      </c>
      <c r="E79" t="s">
        <v>1485</v>
      </c>
      <c r="F79" t="s">
        <v>187</v>
      </c>
      <c r="G79" t="s">
        <v>2028</v>
      </c>
      <c r="H79" t="s">
        <v>1946</v>
      </c>
      <c r="I79" t="str">
        <f t="shared" si="14"/>
        <v>125.99 mi</v>
      </c>
      <c r="J79">
        <f t="shared" si="17"/>
        <v>8</v>
      </c>
      <c r="K79" t="str">
        <f t="shared" si="15"/>
        <v>125.99 </v>
      </c>
      <c r="L79">
        <f t="shared" si="18"/>
        <v>570.1899999999999</v>
      </c>
      <c r="M79" t="str">
        <f t="shared" si="16"/>
        <v> BR</v>
      </c>
    </row>
    <row r="80" spans="1:13" ht="15">
      <c r="A80" t="s">
        <v>188</v>
      </c>
      <c r="B80" t="s">
        <v>3144</v>
      </c>
      <c r="C80" t="s">
        <v>189</v>
      </c>
      <c r="D80" t="s">
        <v>1221</v>
      </c>
      <c r="E80" t="s">
        <v>1486</v>
      </c>
      <c r="F80" t="s">
        <v>190</v>
      </c>
      <c r="G80" t="s">
        <v>1944</v>
      </c>
      <c r="H80" t="s">
        <v>1945</v>
      </c>
      <c r="I80" t="str">
        <f t="shared" si="14"/>
        <v>129.51 mi</v>
      </c>
      <c r="J80">
        <f t="shared" si="17"/>
        <v>8</v>
      </c>
      <c r="K80" t="str">
        <f t="shared" si="15"/>
        <v>129.51 </v>
      </c>
      <c r="L80">
        <f t="shared" si="18"/>
        <v>573.71</v>
      </c>
      <c r="M80" t="str">
        <f t="shared" si="16"/>
        <v> ***R</v>
      </c>
    </row>
    <row r="81" spans="1:13" ht="15">
      <c r="A81" t="s">
        <v>191</v>
      </c>
      <c r="B81" t="s">
        <v>1650</v>
      </c>
      <c r="C81" t="s">
        <v>192</v>
      </c>
      <c r="D81" t="s">
        <v>1240</v>
      </c>
      <c r="E81" t="s">
        <v>1487</v>
      </c>
      <c r="F81" t="s">
        <v>193</v>
      </c>
      <c r="G81" t="s">
        <v>194</v>
      </c>
      <c r="H81" t="s">
        <v>195</v>
      </c>
      <c r="I81" t="str">
        <f t="shared" si="14"/>
        <v>130.54 mi</v>
      </c>
      <c r="J81">
        <f t="shared" si="17"/>
        <v>8</v>
      </c>
      <c r="K81" t="str">
        <f t="shared" si="15"/>
        <v>130.54 </v>
      </c>
      <c r="L81">
        <f t="shared" si="18"/>
        <v>574.74</v>
      </c>
      <c r="M81" t="str">
        <f t="shared" si="16"/>
        <v> Pass</v>
      </c>
    </row>
    <row r="82" spans="1:13" ht="15">
      <c r="A82" t="s">
        <v>196</v>
      </c>
      <c r="B82" t="s">
        <v>1646</v>
      </c>
      <c r="C82" t="s">
        <v>197</v>
      </c>
      <c r="D82" t="s">
        <v>2134</v>
      </c>
      <c r="E82" t="s">
        <v>1488</v>
      </c>
      <c r="F82" t="s">
        <v>198</v>
      </c>
      <c r="G82" t="s">
        <v>1598</v>
      </c>
      <c r="H82" t="s">
        <v>1942</v>
      </c>
      <c r="I82" t="str">
        <f t="shared" si="14"/>
        <v>130.78 mi</v>
      </c>
      <c r="J82">
        <f t="shared" si="17"/>
        <v>8</v>
      </c>
      <c r="K82" t="str">
        <f t="shared" si="15"/>
        <v>130.78 </v>
      </c>
      <c r="L82">
        <f t="shared" si="18"/>
        <v>574.98</v>
      </c>
      <c r="M82" t="str">
        <f t="shared" si="16"/>
        <v> X</v>
      </c>
    </row>
    <row r="83" spans="1:13" ht="15">
      <c r="A83" t="s">
        <v>3285</v>
      </c>
      <c r="B83" t="s">
        <v>1644</v>
      </c>
      <c r="C83" t="s">
        <v>199</v>
      </c>
      <c r="D83" t="s">
        <v>2415</v>
      </c>
      <c r="E83" t="s">
        <v>1489</v>
      </c>
      <c r="F83" t="s">
        <v>200</v>
      </c>
      <c r="G83" t="s">
        <v>1940</v>
      </c>
      <c r="H83" t="s">
        <v>1941</v>
      </c>
      <c r="I83" t="str">
        <f t="shared" si="14"/>
        <v>132.57 mi</v>
      </c>
      <c r="J83">
        <f t="shared" si="17"/>
        <v>8</v>
      </c>
      <c r="K83" t="str">
        <f t="shared" si="15"/>
        <v>132.57 </v>
      </c>
      <c r="L83">
        <f t="shared" si="18"/>
        <v>576.77</v>
      </c>
      <c r="M83" t="str">
        <f t="shared" si="16"/>
        <v> L</v>
      </c>
    </row>
    <row r="84" spans="1:13" ht="15">
      <c r="A84" t="s">
        <v>201</v>
      </c>
      <c r="B84" t="s">
        <v>2380</v>
      </c>
      <c r="C84" t="s">
        <v>202</v>
      </c>
      <c r="D84" t="s">
        <v>3526</v>
      </c>
      <c r="E84" t="s">
        <v>1490</v>
      </c>
      <c r="F84" t="s">
        <v>203</v>
      </c>
      <c r="G84" t="s">
        <v>1939</v>
      </c>
      <c r="H84" t="s">
        <v>3081</v>
      </c>
      <c r="I84" t="str">
        <f t="shared" si="14"/>
        <v>133.06 mi</v>
      </c>
      <c r="J84">
        <f t="shared" si="17"/>
        <v>8</v>
      </c>
      <c r="K84" t="str">
        <f t="shared" si="15"/>
        <v>133.06 </v>
      </c>
      <c r="L84">
        <f t="shared" si="18"/>
        <v>577.26</v>
      </c>
      <c r="M84" t="str">
        <f t="shared" si="16"/>
        <v> BR</v>
      </c>
    </row>
    <row r="85" spans="1:13" ht="15">
      <c r="A85" t="s">
        <v>204</v>
      </c>
      <c r="B85" t="s">
        <v>2380</v>
      </c>
      <c r="C85" t="s">
        <v>205</v>
      </c>
      <c r="D85" t="s">
        <v>3257</v>
      </c>
      <c r="E85" t="s">
        <v>1491</v>
      </c>
      <c r="F85" t="s">
        <v>206</v>
      </c>
      <c r="G85" t="s">
        <v>2406</v>
      </c>
      <c r="H85" t="s">
        <v>2407</v>
      </c>
      <c r="I85" t="str">
        <f t="shared" si="14"/>
        <v>133.46 mi</v>
      </c>
      <c r="J85">
        <f t="shared" si="17"/>
        <v>8</v>
      </c>
      <c r="K85" t="str">
        <f t="shared" si="15"/>
        <v>133.46 </v>
      </c>
      <c r="L85">
        <f t="shared" si="18"/>
        <v>577.66</v>
      </c>
      <c r="M85" t="str">
        <f t="shared" si="16"/>
        <v> BR</v>
      </c>
    </row>
    <row r="86" spans="1:13" ht="15">
      <c r="A86" t="s">
        <v>207</v>
      </c>
      <c r="B86" t="s">
        <v>1646</v>
      </c>
      <c r="C86" t="s">
        <v>1899</v>
      </c>
      <c r="D86" t="s">
        <v>1900</v>
      </c>
      <c r="E86" t="s">
        <v>1492</v>
      </c>
      <c r="F86" t="s">
        <v>1901</v>
      </c>
      <c r="G86" t="s">
        <v>1937</v>
      </c>
      <c r="H86" t="s">
        <v>1938</v>
      </c>
      <c r="I86" t="str">
        <f t="shared" si="14"/>
        <v>138.68 mi</v>
      </c>
      <c r="J86">
        <f t="shared" si="17"/>
        <v>8</v>
      </c>
      <c r="K86" t="str">
        <f t="shared" si="15"/>
        <v>138.68 </v>
      </c>
      <c r="L86">
        <f t="shared" si="18"/>
        <v>582.88</v>
      </c>
      <c r="M86" t="str">
        <f t="shared" si="16"/>
        <v> X</v>
      </c>
    </row>
    <row r="87" spans="1:13" ht="15">
      <c r="A87" t="s">
        <v>1902</v>
      </c>
      <c r="B87" t="s">
        <v>1669</v>
      </c>
      <c r="C87" t="s">
        <v>1903</v>
      </c>
      <c r="D87" t="s">
        <v>1622</v>
      </c>
      <c r="E87" t="s">
        <v>1904</v>
      </c>
      <c r="F87" t="s">
        <v>1905</v>
      </c>
      <c r="G87" t="s">
        <v>1906</v>
      </c>
      <c r="H87" t="s">
        <v>1907</v>
      </c>
      <c r="I87" t="str">
        <f t="shared" si="14"/>
        <v>153.24 mi</v>
      </c>
      <c r="J87">
        <f t="shared" si="17"/>
        <v>8</v>
      </c>
      <c r="K87" t="str">
        <f t="shared" si="15"/>
        <v>153.24 </v>
      </c>
      <c r="L87">
        <f t="shared" si="18"/>
        <v>597.44</v>
      </c>
      <c r="M87" t="str">
        <f t="shared" si="16"/>
        <v> STOP</v>
      </c>
    </row>
    <row r="88" spans="1:13" ht="15">
      <c r="A88" t="s">
        <v>1908</v>
      </c>
      <c r="B88" t="s">
        <v>1623</v>
      </c>
      <c r="C88" t="s">
        <v>208</v>
      </c>
      <c r="D88" t="s">
        <v>3559</v>
      </c>
      <c r="E88" t="s">
        <v>1909</v>
      </c>
      <c r="F88" t="s">
        <v>1910</v>
      </c>
      <c r="G88" t="s">
        <v>1911</v>
      </c>
      <c r="H88" t="s">
        <v>1907</v>
      </c>
      <c r="I88" t="str">
        <f t="shared" si="14"/>
        <v>153.26 mi</v>
      </c>
      <c r="J88">
        <f t="shared" si="17"/>
        <v>8</v>
      </c>
      <c r="K88" t="str">
        <f t="shared" si="15"/>
        <v>153.26 </v>
      </c>
      <c r="L88">
        <f t="shared" si="18"/>
        <v>597.46</v>
      </c>
      <c r="M88" t="str">
        <f t="shared" si="16"/>
        <v> Continue</v>
      </c>
    </row>
    <row r="89" spans="1:13" ht="15">
      <c r="A89" t="s">
        <v>209</v>
      </c>
      <c r="B89" t="s">
        <v>1646</v>
      </c>
      <c r="C89" t="s">
        <v>1857</v>
      </c>
      <c r="D89" t="s">
        <v>1604</v>
      </c>
      <c r="E89" t="s">
        <v>1912</v>
      </c>
      <c r="F89" t="s">
        <v>210</v>
      </c>
      <c r="G89" t="s">
        <v>2384</v>
      </c>
      <c r="H89" t="s">
        <v>2385</v>
      </c>
      <c r="I89" t="str">
        <f t="shared" si="14"/>
        <v>184.17 mi</v>
      </c>
      <c r="J89">
        <f t="shared" si="17"/>
        <v>8</v>
      </c>
      <c r="K89" t="str">
        <f t="shared" si="15"/>
        <v>184.17 </v>
      </c>
      <c r="L89">
        <f t="shared" si="18"/>
        <v>628.37</v>
      </c>
      <c r="M89" t="str">
        <f t="shared" si="16"/>
        <v> X</v>
      </c>
    </row>
    <row r="90" spans="1:13" ht="15">
      <c r="A90" t="s">
        <v>1861</v>
      </c>
      <c r="B90" t="s">
        <v>525</v>
      </c>
      <c r="C90" t="s">
        <v>1920</v>
      </c>
      <c r="D90" t="s">
        <v>1380</v>
      </c>
      <c r="E90" t="s">
        <v>1913</v>
      </c>
      <c r="F90" t="s">
        <v>211</v>
      </c>
      <c r="G90" t="s">
        <v>2382</v>
      </c>
      <c r="H90" t="s">
        <v>2383</v>
      </c>
      <c r="I90" t="str">
        <f t="shared" si="14"/>
        <v>184.36 mi</v>
      </c>
      <c r="J90">
        <f t="shared" si="17"/>
        <v>8</v>
      </c>
      <c r="K90" t="str">
        <f t="shared" si="15"/>
        <v>184.36 </v>
      </c>
      <c r="L90">
        <f t="shared" si="18"/>
        <v>628.56</v>
      </c>
      <c r="M90" t="str">
        <f t="shared" si="16"/>
        <v> BL</v>
      </c>
    </row>
    <row r="91" spans="1:13" ht="15">
      <c r="A91" t="s">
        <v>156</v>
      </c>
      <c r="B91" t="s">
        <v>1646</v>
      </c>
      <c r="C91" t="s">
        <v>1862</v>
      </c>
      <c r="D91" t="s">
        <v>1221</v>
      </c>
      <c r="E91" t="s">
        <v>1914</v>
      </c>
      <c r="F91" t="s">
        <v>212</v>
      </c>
      <c r="G91" t="s">
        <v>774</v>
      </c>
      <c r="H91" t="s">
        <v>1866</v>
      </c>
      <c r="I91" t="str">
        <f t="shared" si="14"/>
        <v>184.45 mi</v>
      </c>
      <c r="J91">
        <f t="shared" si="17"/>
        <v>8</v>
      </c>
      <c r="K91" t="str">
        <f t="shared" si="15"/>
        <v>184.45 </v>
      </c>
      <c r="L91">
        <f t="shared" si="18"/>
        <v>628.65</v>
      </c>
      <c r="M91" t="str">
        <f t="shared" si="16"/>
        <v> X</v>
      </c>
    </row>
    <row r="92" spans="1:13" ht="15">
      <c r="A92" t="s">
        <v>1867</v>
      </c>
      <c r="B92" t="s">
        <v>1646</v>
      </c>
      <c r="C92" t="s">
        <v>1868</v>
      </c>
      <c r="D92" t="s">
        <v>2482</v>
      </c>
      <c r="E92" t="s">
        <v>1915</v>
      </c>
      <c r="F92" t="s">
        <v>213</v>
      </c>
      <c r="G92" t="s">
        <v>2378</v>
      </c>
      <c r="H92" t="s">
        <v>2379</v>
      </c>
      <c r="I92" t="str">
        <f t="shared" si="14"/>
        <v>185.48 mi</v>
      </c>
      <c r="J92">
        <f t="shared" si="17"/>
        <v>8</v>
      </c>
      <c r="K92" t="str">
        <f t="shared" si="15"/>
        <v>185.48 </v>
      </c>
      <c r="L92">
        <f t="shared" si="18"/>
        <v>629.68</v>
      </c>
      <c r="M92" t="str">
        <f t="shared" si="16"/>
        <v> X</v>
      </c>
    </row>
    <row r="93" spans="1:13" ht="15">
      <c r="A93" t="s">
        <v>1873</v>
      </c>
      <c r="B93" t="s">
        <v>1651</v>
      </c>
      <c r="C93" t="s">
        <v>214</v>
      </c>
      <c r="D93" t="s">
        <v>1652</v>
      </c>
      <c r="E93" t="s">
        <v>1916</v>
      </c>
      <c r="F93" t="s">
        <v>215</v>
      </c>
      <c r="G93" t="s">
        <v>1877</v>
      </c>
      <c r="H93" t="s">
        <v>1866</v>
      </c>
      <c r="I93" t="str">
        <f>TRIM(E93)</f>
        <v>185.66 mi</v>
      </c>
      <c r="J93">
        <f t="shared" si="17"/>
        <v>8</v>
      </c>
      <c r="K93" t="str">
        <f>LEFT(I93,J93-1)</f>
        <v>185.66 </v>
      </c>
      <c r="L93">
        <f t="shared" si="18"/>
        <v>629.86</v>
      </c>
      <c r="M93" t="str">
        <f>IF(B93&lt;&gt;" ???",B93,$M$1)</f>
        <v> 1st R</v>
      </c>
    </row>
    <row r="94" spans="1:13" ht="15">
      <c r="A94" t="s">
        <v>216</v>
      </c>
      <c r="B94" t="s">
        <v>1669</v>
      </c>
      <c r="C94" t="s">
        <v>1880</v>
      </c>
      <c r="D94" t="s">
        <v>1619</v>
      </c>
      <c r="E94" t="s">
        <v>1917</v>
      </c>
      <c r="F94" t="s">
        <v>217</v>
      </c>
      <c r="G94" t="s">
        <v>2372</v>
      </c>
      <c r="H94" t="s">
        <v>1878</v>
      </c>
      <c r="I94" t="str">
        <f>TRIM(E94)</f>
        <v>185.80 mi</v>
      </c>
      <c r="J94">
        <f t="shared" si="17"/>
        <v>8</v>
      </c>
      <c r="K94" t="str">
        <f>LEFT(I94,J94-1)</f>
        <v>185.80 </v>
      </c>
      <c r="L94">
        <f t="shared" si="18"/>
        <v>630</v>
      </c>
      <c r="M94" t="str">
        <f>IF(B94&lt;&gt;" ???",B94,$M$1)</f>
        <v> STOP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I17" sqref="I17:M17"/>
    </sheetView>
  </sheetViews>
  <sheetFormatPr defaultColWidth="8.88671875" defaultRowHeight="15"/>
  <cols>
    <col min="1" max="1" width="28.6640625" style="0" customWidth="1"/>
    <col min="2" max="2" width="9.88671875" style="0" customWidth="1"/>
    <col min="3" max="9" width="8.6640625" style="0" customWidth="1"/>
    <col min="10" max="10" width="4.10546875" style="0" customWidth="1"/>
    <col min="11" max="16384" width="8.6640625" style="0" customWidth="1"/>
  </cols>
  <sheetData>
    <row r="1" spans="1:14" ht="15">
      <c r="A1" t="s">
        <v>1633</v>
      </c>
      <c r="B1" t="s">
        <v>1634</v>
      </c>
      <c r="C1" t="s">
        <v>1635</v>
      </c>
      <c r="D1" t="s">
        <v>1636</v>
      </c>
      <c r="E1" t="s">
        <v>1637</v>
      </c>
      <c r="F1" t="s">
        <v>1638</v>
      </c>
      <c r="G1" t="s">
        <v>1639</v>
      </c>
      <c r="H1" t="s">
        <v>1640</v>
      </c>
      <c r="K1">
        <f>INDIRECT("L"&amp;COUNTA(K2:K99)+1)</f>
        <v>656.89</v>
      </c>
      <c r="L1">
        <f>Seg4!K1</f>
        <v>630</v>
      </c>
      <c r="M1" t="s">
        <v>2470</v>
      </c>
      <c r="N1" t="s">
        <v>805</v>
      </c>
    </row>
    <row r="2" spans="1:13" ht="15">
      <c r="A2" t="s">
        <v>750</v>
      </c>
      <c r="B2" t="s">
        <v>2494</v>
      </c>
      <c r="C2" t="s">
        <v>1193</v>
      </c>
      <c r="D2" t="s">
        <v>1654</v>
      </c>
      <c r="E2" t="s">
        <v>1642</v>
      </c>
      <c r="F2" t="s">
        <v>751</v>
      </c>
      <c r="G2" t="s">
        <v>1169</v>
      </c>
      <c r="H2" t="s">
        <v>752</v>
      </c>
      <c r="I2" t="str">
        <f aca="true" t="shared" si="0" ref="I2:I12">TRIM(E2)</f>
        <v>0.00 mi</v>
      </c>
      <c r="J2">
        <f aca="true" t="shared" si="1" ref="J2:J17">FIND("mi",I2)</f>
        <v>6</v>
      </c>
      <c r="K2" t="str">
        <f aca="true" t="shared" si="2" ref="K2:K12">LEFT(I2,J2-1)</f>
        <v>0.00 </v>
      </c>
      <c r="L2">
        <f aca="true" t="shared" si="3" ref="L2:L17">$L$1+K2</f>
        <v>630</v>
      </c>
      <c r="M2" t="str">
        <f aca="true" t="shared" si="4" ref="M2:M12">IF(B2&lt;&gt;" ???",B2,$M$1)</f>
        <v> START</v>
      </c>
    </row>
    <row r="3" spans="1:13" ht="15">
      <c r="A3" t="s">
        <v>1194</v>
      </c>
      <c r="B3" t="s">
        <v>2471</v>
      </c>
      <c r="C3" t="s">
        <v>2374</v>
      </c>
      <c r="D3" t="s">
        <v>1652</v>
      </c>
      <c r="E3" t="s">
        <v>1654</v>
      </c>
      <c r="F3" t="s">
        <v>753</v>
      </c>
      <c r="G3" t="s">
        <v>1159</v>
      </c>
      <c r="H3" t="s">
        <v>754</v>
      </c>
      <c r="I3" t="str">
        <f t="shared" si="0"/>
        <v>0.04 mi</v>
      </c>
      <c r="J3">
        <f t="shared" si="1"/>
        <v>6</v>
      </c>
      <c r="K3" t="str">
        <f t="shared" si="2"/>
        <v>0.04 </v>
      </c>
      <c r="L3">
        <f t="shared" si="3"/>
        <v>630.04</v>
      </c>
      <c r="M3" t="str">
        <f t="shared" si="4"/>
        <v> Backtrack</v>
      </c>
    </row>
    <row r="4" spans="1:13" ht="15">
      <c r="A4" t="s">
        <v>2375</v>
      </c>
      <c r="B4" t="s">
        <v>1643</v>
      </c>
      <c r="C4" t="s">
        <v>2376</v>
      </c>
      <c r="D4" t="s">
        <v>1604</v>
      </c>
      <c r="E4" t="s">
        <v>1604</v>
      </c>
      <c r="F4" t="s">
        <v>755</v>
      </c>
      <c r="G4" t="s">
        <v>1877</v>
      </c>
      <c r="H4" t="s">
        <v>756</v>
      </c>
      <c r="I4" t="str">
        <f t="shared" si="0"/>
        <v>0.19 mi</v>
      </c>
      <c r="J4">
        <f t="shared" si="1"/>
        <v>6</v>
      </c>
      <c r="K4" t="str">
        <f t="shared" si="2"/>
        <v>0.19 </v>
      </c>
      <c r="L4">
        <f t="shared" si="3"/>
        <v>630.19</v>
      </c>
      <c r="M4" t="str">
        <f t="shared" si="4"/>
        <v> 1st L</v>
      </c>
    </row>
    <row r="5" spans="1:13" ht="15">
      <c r="A5" t="s">
        <v>2377</v>
      </c>
      <c r="B5" t="s">
        <v>1646</v>
      </c>
      <c r="C5" t="s">
        <v>757</v>
      </c>
      <c r="D5" t="s">
        <v>1265</v>
      </c>
      <c r="E5" t="s">
        <v>2501</v>
      </c>
      <c r="F5" t="s">
        <v>758</v>
      </c>
      <c r="G5" t="s">
        <v>759</v>
      </c>
      <c r="H5" t="s">
        <v>760</v>
      </c>
      <c r="I5" t="str">
        <f t="shared" si="0"/>
        <v>0.38 mi</v>
      </c>
      <c r="J5">
        <f t="shared" si="1"/>
        <v>6</v>
      </c>
      <c r="K5" t="str">
        <f t="shared" si="2"/>
        <v>0.38 </v>
      </c>
      <c r="L5">
        <f t="shared" si="3"/>
        <v>630.38</v>
      </c>
      <c r="M5" t="str">
        <f t="shared" si="4"/>
        <v> X</v>
      </c>
    </row>
    <row r="6" spans="1:13" ht="15">
      <c r="A6" t="s">
        <v>761</v>
      </c>
      <c r="B6" t="s">
        <v>1643</v>
      </c>
      <c r="C6" t="s">
        <v>762</v>
      </c>
      <c r="D6" t="s">
        <v>2213</v>
      </c>
      <c r="E6" t="s">
        <v>763</v>
      </c>
      <c r="F6" t="s">
        <v>764</v>
      </c>
      <c r="G6" t="s">
        <v>765</v>
      </c>
      <c r="H6" t="s">
        <v>766</v>
      </c>
      <c r="I6" t="str">
        <f t="shared" si="0"/>
        <v>1.16 mi</v>
      </c>
      <c r="J6">
        <f t="shared" si="1"/>
        <v>6</v>
      </c>
      <c r="K6" t="str">
        <f t="shared" si="2"/>
        <v>1.16 </v>
      </c>
      <c r="L6">
        <f t="shared" si="3"/>
        <v>631.16</v>
      </c>
      <c r="M6" t="str">
        <f t="shared" si="4"/>
        <v> 1st L</v>
      </c>
    </row>
    <row r="7" spans="1:13" ht="15">
      <c r="A7" t="s">
        <v>767</v>
      </c>
      <c r="B7" t="s">
        <v>1644</v>
      </c>
      <c r="C7" t="s">
        <v>768</v>
      </c>
      <c r="D7" t="s">
        <v>2478</v>
      </c>
      <c r="E7" t="s">
        <v>2001</v>
      </c>
      <c r="F7" t="s">
        <v>769</v>
      </c>
      <c r="G7" t="s">
        <v>3174</v>
      </c>
      <c r="H7" t="s">
        <v>770</v>
      </c>
      <c r="I7" t="str">
        <f t="shared" si="0"/>
        <v>1.45 mi</v>
      </c>
      <c r="J7">
        <f t="shared" si="1"/>
        <v>6</v>
      </c>
      <c r="K7" t="str">
        <f t="shared" si="2"/>
        <v>1.45 </v>
      </c>
      <c r="L7">
        <f t="shared" si="3"/>
        <v>631.45</v>
      </c>
      <c r="M7" t="str">
        <f t="shared" si="4"/>
        <v> L</v>
      </c>
    </row>
    <row r="8" spans="1:13" ht="15">
      <c r="A8" t="s">
        <v>771</v>
      </c>
      <c r="B8" t="s">
        <v>1646</v>
      </c>
      <c r="C8" t="s">
        <v>2303</v>
      </c>
      <c r="D8" t="s">
        <v>2304</v>
      </c>
      <c r="E8" t="s">
        <v>2182</v>
      </c>
      <c r="F8" t="s">
        <v>2305</v>
      </c>
      <c r="G8" t="s">
        <v>1973</v>
      </c>
      <c r="H8" t="s">
        <v>772</v>
      </c>
      <c r="I8" t="str">
        <f t="shared" si="0"/>
        <v>1.50 mi</v>
      </c>
      <c r="J8">
        <f t="shared" si="1"/>
        <v>6</v>
      </c>
      <c r="K8" t="str">
        <f t="shared" si="2"/>
        <v>1.50 </v>
      </c>
      <c r="L8">
        <f t="shared" si="3"/>
        <v>631.5</v>
      </c>
      <c r="M8" t="str">
        <f t="shared" si="4"/>
        <v> X</v>
      </c>
    </row>
    <row r="9" spans="1:13" ht="15">
      <c r="A9" t="s">
        <v>2306</v>
      </c>
      <c r="B9" t="s">
        <v>1641</v>
      </c>
      <c r="C9" t="s">
        <v>2307</v>
      </c>
      <c r="D9" t="s">
        <v>3291</v>
      </c>
      <c r="E9" t="s">
        <v>2308</v>
      </c>
      <c r="F9" t="s">
        <v>2309</v>
      </c>
      <c r="G9" t="s">
        <v>2310</v>
      </c>
      <c r="H9" t="s">
        <v>2311</v>
      </c>
      <c r="I9" t="str">
        <f t="shared" si="0"/>
        <v>3.08 mi</v>
      </c>
      <c r="J9">
        <f t="shared" si="1"/>
        <v>6</v>
      </c>
      <c r="K9" t="str">
        <f t="shared" si="2"/>
        <v>3.08 </v>
      </c>
      <c r="L9">
        <f t="shared" si="3"/>
        <v>633.08</v>
      </c>
      <c r="M9" t="str">
        <f t="shared" si="4"/>
        <v> R</v>
      </c>
    </row>
    <row r="10" spans="1:13" ht="15">
      <c r="A10" t="s">
        <v>2312</v>
      </c>
      <c r="B10" t="s">
        <v>2700</v>
      </c>
      <c r="C10" t="s">
        <v>773</v>
      </c>
      <c r="D10" t="s">
        <v>1610</v>
      </c>
      <c r="E10" t="s">
        <v>2313</v>
      </c>
      <c r="F10" t="s">
        <v>2314</v>
      </c>
      <c r="G10" t="s">
        <v>2315</v>
      </c>
      <c r="H10" t="s">
        <v>2316</v>
      </c>
      <c r="I10" t="str">
        <f t="shared" si="0"/>
        <v>4.82 mi</v>
      </c>
      <c r="J10">
        <f t="shared" si="1"/>
        <v>6</v>
      </c>
      <c r="K10" t="str">
        <f t="shared" si="2"/>
        <v>4.82 </v>
      </c>
      <c r="L10">
        <f t="shared" si="3"/>
        <v>634.82</v>
      </c>
      <c r="M10" t="str">
        <f t="shared" si="4"/>
        <v> TL</v>
      </c>
    </row>
    <row r="11" spans="1:13" ht="15">
      <c r="A11" t="s">
        <v>775</v>
      </c>
      <c r="B11" t="s">
        <v>1648</v>
      </c>
      <c r="C11" t="s">
        <v>1195</v>
      </c>
      <c r="D11" t="s">
        <v>1283</v>
      </c>
      <c r="E11" t="s">
        <v>2317</v>
      </c>
      <c r="F11" t="s">
        <v>776</v>
      </c>
      <c r="G11" t="s">
        <v>777</v>
      </c>
      <c r="H11" t="s">
        <v>778</v>
      </c>
      <c r="I11" t="str">
        <f t="shared" si="0"/>
        <v>5.19 mi</v>
      </c>
      <c r="J11">
        <f t="shared" si="1"/>
        <v>6</v>
      </c>
      <c r="K11" t="str">
        <f t="shared" si="2"/>
        <v>5.19 </v>
      </c>
      <c r="L11">
        <f t="shared" si="3"/>
        <v>635.19</v>
      </c>
      <c r="M11" t="str">
        <f t="shared" si="4"/>
        <v> T R</v>
      </c>
    </row>
    <row r="12" spans="1:13" ht="15">
      <c r="A12" t="s">
        <v>1196</v>
      </c>
      <c r="B12" t="s">
        <v>1647</v>
      </c>
      <c r="C12" t="s">
        <v>779</v>
      </c>
      <c r="D12" t="s">
        <v>3572</v>
      </c>
      <c r="E12" t="s">
        <v>2318</v>
      </c>
      <c r="F12" t="s">
        <v>780</v>
      </c>
      <c r="G12" t="s">
        <v>781</v>
      </c>
      <c r="H12" t="s">
        <v>782</v>
      </c>
      <c r="I12" t="str">
        <f t="shared" si="0"/>
        <v>9.93 mi</v>
      </c>
      <c r="J12">
        <f t="shared" si="1"/>
        <v>6</v>
      </c>
      <c r="K12" t="str">
        <f t="shared" si="2"/>
        <v>9.93 </v>
      </c>
      <c r="L12">
        <f t="shared" si="3"/>
        <v>639.93</v>
      </c>
      <c r="M12" t="str">
        <f t="shared" si="4"/>
        <v> T L</v>
      </c>
    </row>
    <row r="13" spans="1:13" ht="15">
      <c r="A13" t="s">
        <v>783</v>
      </c>
      <c r="B13" t="s">
        <v>1641</v>
      </c>
      <c r="C13" t="s">
        <v>1197</v>
      </c>
      <c r="D13" t="s">
        <v>3003</v>
      </c>
      <c r="E13" t="s">
        <v>2319</v>
      </c>
      <c r="F13" t="s">
        <v>784</v>
      </c>
      <c r="G13" t="s">
        <v>785</v>
      </c>
      <c r="H13" t="s">
        <v>786</v>
      </c>
      <c r="I13" t="str">
        <f>TRIM(E13)</f>
        <v>10.09 mi</v>
      </c>
      <c r="J13">
        <f t="shared" si="1"/>
        <v>7</v>
      </c>
      <c r="K13" t="str">
        <f>LEFT(I13,J13-1)</f>
        <v>10.09 </v>
      </c>
      <c r="L13">
        <f t="shared" si="3"/>
        <v>640.09</v>
      </c>
      <c r="M13" t="str">
        <f>IF(B13&lt;&gt;" ???",B13,$M$1)</f>
        <v> R</v>
      </c>
    </row>
    <row r="14" spans="1:13" ht="15">
      <c r="A14" t="s">
        <v>1198</v>
      </c>
      <c r="B14" t="s">
        <v>1645</v>
      </c>
      <c r="C14" t="s">
        <v>787</v>
      </c>
      <c r="D14" t="s">
        <v>788</v>
      </c>
      <c r="E14" t="s">
        <v>2320</v>
      </c>
      <c r="F14" t="s">
        <v>789</v>
      </c>
      <c r="G14" t="s">
        <v>790</v>
      </c>
      <c r="H14" t="s">
        <v>791</v>
      </c>
      <c r="I14" t="str">
        <f>TRIM(E14)</f>
        <v>10.90 mi</v>
      </c>
      <c r="J14">
        <f t="shared" si="1"/>
        <v>7</v>
      </c>
      <c r="K14" t="str">
        <f>LEFT(I14,J14-1)</f>
        <v>10.90 </v>
      </c>
      <c r="L14">
        <f t="shared" si="3"/>
        <v>640.9</v>
      </c>
      <c r="M14" t="str">
        <f>IF(B14&lt;&gt;" ???",B14,$M$1)</f>
        <v> B R</v>
      </c>
    </row>
    <row r="15" spans="1:13" ht="15">
      <c r="A15" t="s">
        <v>792</v>
      </c>
      <c r="B15" t="s">
        <v>1648</v>
      </c>
      <c r="C15" t="s">
        <v>1199</v>
      </c>
      <c r="D15" t="s">
        <v>793</v>
      </c>
      <c r="E15" t="s">
        <v>2321</v>
      </c>
      <c r="F15" t="s">
        <v>794</v>
      </c>
      <c r="G15" t="s">
        <v>795</v>
      </c>
      <c r="H15" t="s">
        <v>796</v>
      </c>
      <c r="I15" t="str">
        <f>TRIM(E15)</f>
        <v>13.29 mi</v>
      </c>
      <c r="J15">
        <f t="shared" si="1"/>
        <v>7</v>
      </c>
      <c r="K15" t="str">
        <f>LEFT(I15,J15-1)</f>
        <v>13.29 </v>
      </c>
      <c r="L15">
        <f t="shared" si="3"/>
        <v>643.29</v>
      </c>
      <c r="M15" t="str">
        <f>IF(B15&lt;&gt;" ???",B15,$M$1)</f>
        <v> T R</v>
      </c>
    </row>
    <row r="16" spans="1:13" ht="15">
      <c r="A16" t="s">
        <v>1200</v>
      </c>
      <c r="B16" t="s">
        <v>1669</v>
      </c>
      <c r="C16" t="s">
        <v>797</v>
      </c>
      <c r="D16" t="s">
        <v>1654</v>
      </c>
      <c r="E16" t="s">
        <v>2322</v>
      </c>
      <c r="F16" t="s">
        <v>798</v>
      </c>
      <c r="G16" t="s">
        <v>3015</v>
      </c>
      <c r="H16" t="s">
        <v>799</v>
      </c>
      <c r="I16" t="str">
        <f>TRIM(E16)</f>
        <v>26.85 mi</v>
      </c>
      <c r="J16">
        <f t="shared" si="1"/>
        <v>7</v>
      </c>
      <c r="K16" t="str">
        <f>LEFT(I16,J16-1)</f>
        <v>26.85 </v>
      </c>
      <c r="L16">
        <f t="shared" si="3"/>
        <v>656.85</v>
      </c>
      <c r="M16" t="str">
        <f>IF(B16&lt;&gt;" ???",B16,$M$1)</f>
        <v> STOP</v>
      </c>
    </row>
    <row r="17" spans="1:13" ht="15">
      <c r="A17" t="s">
        <v>800</v>
      </c>
      <c r="B17" t="s">
        <v>1623</v>
      </c>
      <c r="C17" t="s">
        <v>801</v>
      </c>
      <c r="D17" t="s">
        <v>2490</v>
      </c>
      <c r="E17" t="s">
        <v>2323</v>
      </c>
      <c r="F17" t="s">
        <v>802</v>
      </c>
      <c r="G17" t="s">
        <v>803</v>
      </c>
      <c r="H17" t="s">
        <v>804</v>
      </c>
      <c r="I17" t="str">
        <f>TRIM(E17)</f>
        <v>26.89 mi</v>
      </c>
      <c r="J17">
        <f t="shared" si="1"/>
        <v>7</v>
      </c>
      <c r="K17" t="str">
        <f>LEFT(I17,J17-1)</f>
        <v>26.89 </v>
      </c>
      <c r="L17">
        <f t="shared" si="3"/>
        <v>656.89</v>
      </c>
      <c r="M17" t="str">
        <f>IF(B17&lt;&gt;" ???",B17,$M$1)</f>
        <v> Continue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C1">
      <selection activeCell="C88" sqref="C88"/>
    </sheetView>
  </sheetViews>
  <sheetFormatPr defaultColWidth="8.88671875" defaultRowHeight="15"/>
  <cols>
    <col min="1" max="1" width="28.6640625" style="0" customWidth="1"/>
    <col min="2" max="2" width="9.88671875" style="0" customWidth="1"/>
    <col min="3" max="9" width="8.6640625" style="0" customWidth="1"/>
    <col min="10" max="10" width="4.10546875" style="0" customWidth="1"/>
    <col min="11" max="16384" width="8.6640625" style="0" customWidth="1"/>
  </cols>
  <sheetData>
    <row r="1" spans="1:14" ht="15">
      <c r="A1" t="s">
        <v>1633</v>
      </c>
      <c r="B1" t="s">
        <v>1634</v>
      </c>
      <c r="C1" t="s">
        <v>1635</v>
      </c>
      <c r="D1" t="s">
        <v>1636</v>
      </c>
      <c r="E1" t="s">
        <v>1637</v>
      </c>
      <c r="F1" t="s">
        <v>1638</v>
      </c>
      <c r="G1" t="s">
        <v>1639</v>
      </c>
      <c r="H1" t="s">
        <v>1640</v>
      </c>
      <c r="K1">
        <f>INDIRECT("L"&amp;COUNTA(K2:K100)+1)</f>
        <v>768.2</v>
      </c>
      <c r="L1">
        <f>Seg5!K1</f>
        <v>656.89</v>
      </c>
      <c r="M1" t="s">
        <v>2470</v>
      </c>
      <c r="N1" t="s">
        <v>1584</v>
      </c>
    </row>
    <row r="2" spans="1:13" ht="15">
      <c r="A2" t="s">
        <v>819</v>
      </c>
      <c r="B2" t="s">
        <v>2494</v>
      </c>
      <c r="C2" t="s">
        <v>820</v>
      </c>
      <c r="D2" t="s">
        <v>1652</v>
      </c>
      <c r="E2" t="s">
        <v>1642</v>
      </c>
      <c r="F2" t="s">
        <v>821</v>
      </c>
      <c r="G2" t="s">
        <v>822</v>
      </c>
      <c r="H2" t="s">
        <v>3016</v>
      </c>
      <c r="I2" t="str">
        <f aca="true" t="shared" si="0" ref="I2:I18">TRIM(E2)</f>
        <v>0.00 mi</v>
      </c>
      <c r="J2">
        <f aca="true" t="shared" si="1" ref="J2:J65">FIND("mi",I2)</f>
        <v>6</v>
      </c>
      <c r="K2" t="str">
        <f aca="true" t="shared" si="2" ref="K2:K18">LEFT(I2,J2-1)</f>
        <v>0.00 </v>
      </c>
      <c r="L2">
        <f aca="true" t="shared" si="3" ref="L2:L65">$L$1+K2</f>
        <v>656.89</v>
      </c>
      <c r="M2" t="str">
        <f aca="true" t="shared" si="4" ref="M2:M18">IF(B2&lt;&gt;" ???",B2,$M$1)</f>
        <v> START</v>
      </c>
    </row>
    <row r="3" spans="1:13" ht="15">
      <c r="A3" t="s">
        <v>823</v>
      </c>
      <c r="B3" t="s">
        <v>1621</v>
      </c>
      <c r="C3" t="s">
        <v>1201</v>
      </c>
      <c r="D3" t="s">
        <v>824</v>
      </c>
      <c r="E3" t="s">
        <v>1652</v>
      </c>
      <c r="F3" t="s">
        <v>825</v>
      </c>
      <c r="G3" t="s">
        <v>826</v>
      </c>
      <c r="H3" t="s">
        <v>827</v>
      </c>
      <c r="I3" t="str">
        <f t="shared" si="0"/>
        <v>0.14 mi</v>
      </c>
      <c r="J3">
        <f t="shared" si="1"/>
        <v>6</v>
      </c>
      <c r="K3" t="str">
        <f t="shared" si="2"/>
        <v>0.14 </v>
      </c>
      <c r="L3">
        <f t="shared" si="3"/>
        <v>657.03</v>
      </c>
      <c r="M3" t="str">
        <f t="shared" si="4"/>
        <v> B L</v>
      </c>
    </row>
    <row r="4" spans="1:13" ht="15">
      <c r="A4" t="s">
        <v>1202</v>
      </c>
      <c r="B4" t="s">
        <v>1641</v>
      </c>
      <c r="C4" t="s">
        <v>828</v>
      </c>
      <c r="D4" t="s">
        <v>1605</v>
      </c>
      <c r="E4" t="s">
        <v>829</v>
      </c>
      <c r="F4" t="s">
        <v>830</v>
      </c>
      <c r="G4" t="s">
        <v>831</v>
      </c>
      <c r="H4" t="s">
        <v>832</v>
      </c>
      <c r="I4" t="str">
        <f t="shared" si="0"/>
        <v>2.35 mi</v>
      </c>
      <c r="J4">
        <f t="shared" si="1"/>
        <v>6</v>
      </c>
      <c r="K4" t="str">
        <f t="shared" si="2"/>
        <v>2.35 </v>
      </c>
      <c r="L4">
        <f t="shared" si="3"/>
        <v>659.24</v>
      </c>
      <c r="M4" t="str">
        <f t="shared" si="4"/>
        <v> R</v>
      </c>
    </row>
    <row r="5" spans="1:13" ht="15">
      <c r="A5" t="s">
        <v>833</v>
      </c>
      <c r="B5" t="s">
        <v>1621</v>
      </c>
      <c r="C5" t="s">
        <v>834</v>
      </c>
      <c r="D5" t="s">
        <v>1240</v>
      </c>
      <c r="E5" t="s">
        <v>835</v>
      </c>
      <c r="F5" t="s">
        <v>3611</v>
      </c>
      <c r="G5" t="s">
        <v>3612</v>
      </c>
      <c r="H5" t="s">
        <v>3613</v>
      </c>
      <c r="I5" t="str">
        <f t="shared" si="0"/>
        <v>3.61 mi</v>
      </c>
      <c r="J5">
        <f t="shared" si="1"/>
        <v>6</v>
      </c>
      <c r="K5" t="str">
        <f t="shared" si="2"/>
        <v>3.61 </v>
      </c>
      <c r="L5">
        <f t="shared" si="3"/>
        <v>660.5</v>
      </c>
      <c r="M5" t="str">
        <f t="shared" si="4"/>
        <v> B L</v>
      </c>
    </row>
    <row r="6" spans="1:13" ht="15">
      <c r="A6" t="s">
        <v>3614</v>
      </c>
      <c r="B6" t="s">
        <v>1631</v>
      </c>
      <c r="C6" t="s">
        <v>3615</v>
      </c>
      <c r="D6" t="s">
        <v>3616</v>
      </c>
      <c r="E6" t="s">
        <v>3617</v>
      </c>
      <c r="F6" t="s">
        <v>3618</v>
      </c>
      <c r="G6" t="s">
        <v>2680</v>
      </c>
      <c r="H6" t="s">
        <v>3619</v>
      </c>
      <c r="I6" t="str">
        <f t="shared" si="0"/>
        <v>3.86 mi</v>
      </c>
      <c r="J6">
        <f t="shared" si="1"/>
        <v>6</v>
      </c>
      <c r="K6" t="str">
        <f t="shared" si="2"/>
        <v>3.86 </v>
      </c>
      <c r="L6">
        <f t="shared" si="3"/>
        <v>660.75</v>
      </c>
      <c r="M6" t="str">
        <f t="shared" si="4"/>
        <v> Straight</v>
      </c>
    </row>
    <row r="7" spans="1:13" ht="15">
      <c r="A7" t="s">
        <v>3620</v>
      </c>
      <c r="B7" t="s">
        <v>1647</v>
      </c>
      <c r="C7" t="s">
        <v>3621</v>
      </c>
      <c r="D7" t="s">
        <v>3622</v>
      </c>
      <c r="E7" t="s">
        <v>3623</v>
      </c>
      <c r="F7" t="s">
        <v>3624</v>
      </c>
      <c r="G7" t="s">
        <v>3625</v>
      </c>
      <c r="H7" t="s">
        <v>3626</v>
      </c>
      <c r="I7" t="str">
        <f t="shared" si="0"/>
        <v>8.47 mi</v>
      </c>
      <c r="J7">
        <f t="shared" si="1"/>
        <v>6</v>
      </c>
      <c r="K7" t="str">
        <f t="shared" si="2"/>
        <v>8.47 </v>
      </c>
      <c r="L7">
        <f t="shared" si="3"/>
        <v>665.36</v>
      </c>
      <c r="M7" t="str">
        <f t="shared" si="4"/>
        <v> T L</v>
      </c>
    </row>
    <row r="8" spans="1:13" ht="15">
      <c r="A8" t="s">
        <v>3627</v>
      </c>
      <c r="B8" t="s">
        <v>1644</v>
      </c>
      <c r="C8" t="s">
        <v>3628</v>
      </c>
      <c r="D8" t="s">
        <v>3267</v>
      </c>
      <c r="E8" t="s">
        <v>3629</v>
      </c>
      <c r="F8" t="s">
        <v>3630</v>
      </c>
      <c r="G8" t="s">
        <v>3631</v>
      </c>
      <c r="H8" t="s">
        <v>3632</v>
      </c>
      <c r="I8" t="str">
        <f t="shared" si="0"/>
        <v>10.31 mi</v>
      </c>
      <c r="J8">
        <f t="shared" si="1"/>
        <v>7</v>
      </c>
      <c r="K8" t="str">
        <f t="shared" si="2"/>
        <v>10.31 </v>
      </c>
      <c r="L8">
        <f t="shared" si="3"/>
        <v>667.1999999999999</v>
      </c>
      <c r="M8" t="str">
        <f t="shared" si="4"/>
        <v> L</v>
      </c>
    </row>
    <row r="9" spans="1:13" ht="15">
      <c r="A9" t="s">
        <v>3633</v>
      </c>
      <c r="B9" t="s">
        <v>1647</v>
      </c>
      <c r="C9" t="s">
        <v>855</v>
      </c>
      <c r="D9" t="s">
        <v>3432</v>
      </c>
      <c r="E9" t="s">
        <v>856</v>
      </c>
      <c r="F9" t="s">
        <v>857</v>
      </c>
      <c r="G9" t="s">
        <v>858</v>
      </c>
      <c r="H9" t="s">
        <v>859</v>
      </c>
      <c r="I9" t="str">
        <f t="shared" si="0"/>
        <v>15.52 mi</v>
      </c>
      <c r="J9">
        <f t="shared" si="1"/>
        <v>7</v>
      </c>
      <c r="K9" t="str">
        <f t="shared" si="2"/>
        <v>15.52 </v>
      </c>
      <c r="L9">
        <f t="shared" si="3"/>
        <v>672.41</v>
      </c>
      <c r="M9" t="str">
        <f t="shared" si="4"/>
        <v> T L</v>
      </c>
    </row>
    <row r="10" spans="1:13" ht="15">
      <c r="A10" t="s">
        <v>860</v>
      </c>
      <c r="B10" t="s">
        <v>861</v>
      </c>
      <c r="C10" t="s">
        <v>2257</v>
      </c>
      <c r="D10" t="s">
        <v>2258</v>
      </c>
      <c r="E10" t="s">
        <v>862</v>
      </c>
      <c r="F10" t="s">
        <v>2396</v>
      </c>
      <c r="G10" t="s">
        <v>2397</v>
      </c>
      <c r="H10" t="s">
        <v>2398</v>
      </c>
      <c r="I10" t="str">
        <f t="shared" si="0"/>
        <v>16.24 mi</v>
      </c>
      <c r="J10">
        <f t="shared" si="1"/>
        <v>7</v>
      </c>
      <c r="K10" t="str">
        <f t="shared" si="2"/>
        <v>16.24 </v>
      </c>
      <c r="L10">
        <f t="shared" si="3"/>
        <v>673.13</v>
      </c>
      <c r="M10" t="str">
        <f t="shared" si="4"/>
        <v> *** BR</v>
      </c>
    </row>
    <row r="11" spans="1:13" ht="15">
      <c r="A11" t="s">
        <v>2399</v>
      </c>
      <c r="B11" t="s">
        <v>1648</v>
      </c>
      <c r="C11" t="s">
        <v>2400</v>
      </c>
      <c r="D11" t="s">
        <v>2401</v>
      </c>
      <c r="E11" t="s">
        <v>17</v>
      </c>
      <c r="F11" t="s">
        <v>2402</v>
      </c>
      <c r="G11" t="s">
        <v>2403</v>
      </c>
      <c r="H11" t="s">
        <v>2404</v>
      </c>
      <c r="I11" t="str">
        <f t="shared" si="0"/>
        <v>18.09 mi</v>
      </c>
      <c r="J11">
        <f t="shared" si="1"/>
        <v>7</v>
      </c>
      <c r="K11" t="str">
        <f t="shared" si="2"/>
        <v>18.09 </v>
      </c>
      <c r="L11">
        <f t="shared" si="3"/>
        <v>674.98</v>
      </c>
      <c r="M11" t="str">
        <f t="shared" si="4"/>
        <v> T R</v>
      </c>
    </row>
    <row r="12" spans="1:13" ht="15">
      <c r="A12" t="s">
        <v>2405</v>
      </c>
      <c r="B12" t="s">
        <v>1646</v>
      </c>
      <c r="C12" t="s">
        <v>863</v>
      </c>
      <c r="D12" t="s">
        <v>3433</v>
      </c>
      <c r="E12" t="s">
        <v>864</v>
      </c>
      <c r="F12" t="s">
        <v>1594</v>
      </c>
      <c r="G12" t="s">
        <v>582</v>
      </c>
      <c r="H12" t="s">
        <v>1595</v>
      </c>
      <c r="I12" t="str">
        <f t="shared" si="0"/>
        <v>21.41 mi</v>
      </c>
      <c r="J12">
        <f t="shared" si="1"/>
        <v>7</v>
      </c>
      <c r="K12" t="str">
        <f t="shared" si="2"/>
        <v>21.41 </v>
      </c>
      <c r="L12">
        <f t="shared" si="3"/>
        <v>678.3</v>
      </c>
      <c r="M12" t="str">
        <f t="shared" si="4"/>
        <v> X</v>
      </c>
    </row>
    <row r="13" spans="1:13" ht="15">
      <c r="A13" t="s">
        <v>865</v>
      </c>
      <c r="B13" t="s">
        <v>1641</v>
      </c>
      <c r="C13" t="s">
        <v>866</v>
      </c>
      <c r="D13" t="s">
        <v>1649</v>
      </c>
      <c r="E13" t="s">
        <v>867</v>
      </c>
      <c r="F13" t="s">
        <v>868</v>
      </c>
      <c r="G13" t="s">
        <v>1596</v>
      </c>
      <c r="H13" t="s">
        <v>1597</v>
      </c>
      <c r="I13" t="str">
        <f t="shared" si="0"/>
        <v>22.15 mi</v>
      </c>
      <c r="J13">
        <f t="shared" si="1"/>
        <v>7</v>
      </c>
      <c r="K13" t="str">
        <f t="shared" si="2"/>
        <v>22.15 </v>
      </c>
      <c r="L13">
        <f t="shared" si="3"/>
        <v>679.04</v>
      </c>
      <c r="M13" t="str">
        <f t="shared" si="4"/>
        <v> R</v>
      </c>
    </row>
    <row r="14" spans="1:13" ht="15">
      <c r="A14" t="s">
        <v>869</v>
      </c>
      <c r="B14" t="s">
        <v>1646</v>
      </c>
      <c r="C14" t="s">
        <v>870</v>
      </c>
      <c r="D14" t="s">
        <v>871</v>
      </c>
      <c r="E14" t="s">
        <v>872</v>
      </c>
      <c r="F14" t="s">
        <v>873</v>
      </c>
      <c r="G14" t="s">
        <v>874</v>
      </c>
      <c r="H14" t="s">
        <v>875</v>
      </c>
      <c r="I14" t="str">
        <f t="shared" si="0"/>
        <v>22.26 mi</v>
      </c>
      <c r="J14">
        <f t="shared" si="1"/>
        <v>7</v>
      </c>
      <c r="K14" t="str">
        <f t="shared" si="2"/>
        <v>22.26 </v>
      </c>
      <c r="L14">
        <f t="shared" si="3"/>
        <v>679.15</v>
      </c>
      <c r="M14" t="str">
        <f t="shared" si="4"/>
        <v> X</v>
      </c>
    </row>
    <row r="15" spans="1:13" ht="15">
      <c r="A15" t="s">
        <v>876</v>
      </c>
      <c r="B15" t="s">
        <v>1646</v>
      </c>
      <c r="C15" t="s">
        <v>877</v>
      </c>
      <c r="D15" t="s">
        <v>2472</v>
      </c>
      <c r="E15" t="s">
        <v>878</v>
      </c>
      <c r="F15" t="s">
        <v>879</v>
      </c>
      <c r="G15" t="s">
        <v>880</v>
      </c>
      <c r="H15" t="s">
        <v>881</v>
      </c>
      <c r="I15" t="str">
        <f t="shared" si="0"/>
        <v>24.34 mi</v>
      </c>
      <c r="J15">
        <f t="shared" si="1"/>
        <v>7</v>
      </c>
      <c r="K15" t="str">
        <f t="shared" si="2"/>
        <v>24.34 </v>
      </c>
      <c r="L15">
        <f t="shared" si="3"/>
        <v>681.23</v>
      </c>
      <c r="M15" t="str">
        <f t="shared" si="4"/>
        <v> X</v>
      </c>
    </row>
    <row r="16" spans="1:13" ht="15">
      <c r="A16" t="s">
        <v>882</v>
      </c>
      <c r="B16" t="s">
        <v>3122</v>
      </c>
      <c r="C16" t="s">
        <v>883</v>
      </c>
      <c r="D16" t="s">
        <v>2575</v>
      </c>
      <c r="E16" t="s">
        <v>884</v>
      </c>
      <c r="F16" t="s">
        <v>885</v>
      </c>
      <c r="G16" t="s">
        <v>886</v>
      </c>
      <c r="H16" t="s">
        <v>887</v>
      </c>
      <c r="I16" t="str">
        <f t="shared" si="0"/>
        <v>24.40 mi</v>
      </c>
      <c r="J16">
        <f t="shared" si="1"/>
        <v>7</v>
      </c>
      <c r="K16" t="str">
        <f t="shared" si="2"/>
        <v>24.40 </v>
      </c>
      <c r="L16">
        <f t="shared" si="3"/>
        <v>681.29</v>
      </c>
      <c r="M16" t="str">
        <f t="shared" si="4"/>
        <v> Q BR</v>
      </c>
    </row>
    <row r="17" spans="1:13" ht="15">
      <c r="A17" t="s">
        <v>888</v>
      </c>
      <c r="B17" t="s">
        <v>2013</v>
      </c>
      <c r="C17" t="s">
        <v>889</v>
      </c>
      <c r="D17" t="s">
        <v>890</v>
      </c>
      <c r="E17" t="s">
        <v>891</v>
      </c>
      <c r="F17" t="s">
        <v>892</v>
      </c>
      <c r="G17" t="s">
        <v>893</v>
      </c>
      <c r="H17" t="s">
        <v>894</v>
      </c>
      <c r="I17" t="str">
        <f t="shared" si="0"/>
        <v>24.97 mi</v>
      </c>
      <c r="J17">
        <f t="shared" si="1"/>
        <v>7</v>
      </c>
      <c r="K17" t="str">
        <f t="shared" si="2"/>
        <v>24.97 </v>
      </c>
      <c r="L17">
        <f t="shared" si="3"/>
        <v>681.86</v>
      </c>
      <c r="M17" t="str">
        <f t="shared" si="4"/>
        <v> X / Caution</v>
      </c>
    </row>
    <row r="18" spans="1:13" ht="15">
      <c r="A18" t="s">
        <v>895</v>
      </c>
      <c r="B18" t="s">
        <v>1648</v>
      </c>
      <c r="C18" t="s">
        <v>896</v>
      </c>
      <c r="D18" t="s">
        <v>897</v>
      </c>
      <c r="E18" t="s">
        <v>898</v>
      </c>
      <c r="F18" t="s">
        <v>899</v>
      </c>
      <c r="G18" t="s">
        <v>900</v>
      </c>
      <c r="H18" t="s">
        <v>901</v>
      </c>
      <c r="I18" t="str">
        <f t="shared" si="0"/>
        <v>28.47 mi</v>
      </c>
      <c r="J18">
        <f t="shared" si="1"/>
        <v>7</v>
      </c>
      <c r="K18" t="str">
        <f t="shared" si="2"/>
        <v>28.47 </v>
      </c>
      <c r="L18">
        <f t="shared" si="3"/>
        <v>685.36</v>
      </c>
      <c r="M18" t="str">
        <f t="shared" si="4"/>
        <v> T R</v>
      </c>
    </row>
    <row r="19" spans="1:13" ht="15">
      <c r="A19" t="s">
        <v>902</v>
      </c>
      <c r="B19" t="s">
        <v>1631</v>
      </c>
      <c r="C19" t="s">
        <v>2840</v>
      </c>
      <c r="D19" t="s">
        <v>2841</v>
      </c>
      <c r="E19" t="s">
        <v>904</v>
      </c>
      <c r="F19" t="s">
        <v>2842</v>
      </c>
      <c r="G19" t="s">
        <v>905</v>
      </c>
      <c r="H19" t="s">
        <v>906</v>
      </c>
      <c r="I19" t="str">
        <f>TRIM(E19)</f>
        <v>31.45 mi</v>
      </c>
      <c r="J19">
        <f t="shared" si="1"/>
        <v>7</v>
      </c>
      <c r="K19" t="str">
        <f>LEFT(I19,J19-1)</f>
        <v>31.45 </v>
      </c>
      <c r="L19">
        <f t="shared" si="3"/>
        <v>688.34</v>
      </c>
      <c r="M19" t="str">
        <f>IF(B19&lt;&gt;" ???",B19,$M$1)</f>
        <v> Straight</v>
      </c>
    </row>
    <row r="20" spans="1:13" ht="15">
      <c r="A20" t="s">
        <v>2843</v>
      </c>
      <c r="B20" t="s">
        <v>1644</v>
      </c>
      <c r="C20" t="s">
        <v>2844</v>
      </c>
      <c r="D20" t="s">
        <v>1269</v>
      </c>
      <c r="E20" t="s">
        <v>2845</v>
      </c>
      <c r="F20" t="s">
        <v>2846</v>
      </c>
      <c r="G20" t="s">
        <v>2847</v>
      </c>
      <c r="H20" t="s">
        <v>3248</v>
      </c>
      <c r="I20" t="str">
        <f>TRIM(E20)</f>
        <v>31.96 mi</v>
      </c>
      <c r="J20">
        <f t="shared" si="1"/>
        <v>7</v>
      </c>
      <c r="K20" t="str">
        <f>LEFT(I20,J20-1)</f>
        <v>31.96 </v>
      </c>
      <c r="L20">
        <f t="shared" si="3"/>
        <v>688.85</v>
      </c>
      <c r="M20" t="str">
        <f>IF(B20&lt;&gt;" ???",B20,$M$1)</f>
        <v> L</v>
      </c>
    </row>
    <row r="21" spans="1:13" ht="15">
      <c r="A21" t="s">
        <v>2848</v>
      </c>
      <c r="B21" t="s">
        <v>1641</v>
      </c>
      <c r="C21" t="s">
        <v>2849</v>
      </c>
      <c r="D21" t="s">
        <v>1795</v>
      </c>
      <c r="E21" t="s">
        <v>2850</v>
      </c>
      <c r="F21" t="s">
        <v>2851</v>
      </c>
      <c r="G21" t="s">
        <v>2852</v>
      </c>
      <c r="H21" t="s">
        <v>2853</v>
      </c>
      <c r="I21" t="str">
        <f aca="true" t="shared" si="5" ref="I21:I84">TRIM(E21)</f>
        <v>32.57 mi</v>
      </c>
      <c r="J21">
        <f t="shared" si="1"/>
        <v>7</v>
      </c>
      <c r="K21" t="str">
        <f aca="true" t="shared" si="6" ref="K21:K84">LEFT(I21,J21-1)</f>
        <v>32.57 </v>
      </c>
      <c r="L21">
        <f t="shared" si="3"/>
        <v>689.46</v>
      </c>
      <c r="M21" t="str">
        <f aca="true" t="shared" si="7" ref="M21:M84">IF(B21&lt;&gt;" ???",B21,$M$1)</f>
        <v> R</v>
      </c>
    </row>
    <row r="22" spans="1:13" ht="15">
      <c r="A22" t="s">
        <v>2854</v>
      </c>
      <c r="B22" t="s">
        <v>1641</v>
      </c>
      <c r="C22" t="s">
        <v>903</v>
      </c>
      <c r="D22" t="s">
        <v>2426</v>
      </c>
      <c r="E22" t="s">
        <v>2855</v>
      </c>
      <c r="F22" t="s">
        <v>2856</v>
      </c>
      <c r="G22" t="s">
        <v>2857</v>
      </c>
      <c r="H22" t="s">
        <v>2858</v>
      </c>
      <c r="I22" t="str">
        <f t="shared" si="5"/>
        <v>33.11 mi</v>
      </c>
      <c r="J22">
        <f t="shared" si="1"/>
        <v>7</v>
      </c>
      <c r="K22" t="str">
        <f t="shared" si="6"/>
        <v>33.11 </v>
      </c>
      <c r="L22">
        <f t="shared" si="3"/>
        <v>690</v>
      </c>
      <c r="M22" t="str">
        <f t="shared" si="7"/>
        <v> R</v>
      </c>
    </row>
    <row r="23" spans="1:13" ht="15">
      <c r="A23" t="s">
        <v>907</v>
      </c>
      <c r="B23" t="s">
        <v>1647</v>
      </c>
      <c r="C23" t="s">
        <v>908</v>
      </c>
      <c r="D23" t="s">
        <v>2859</v>
      </c>
      <c r="E23" t="s">
        <v>2860</v>
      </c>
      <c r="F23" t="s">
        <v>2861</v>
      </c>
      <c r="G23" t="s">
        <v>2862</v>
      </c>
      <c r="H23" t="s">
        <v>909</v>
      </c>
      <c r="I23" t="str">
        <f t="shared" si="5"/>
        <v>33.56 mi</v>
      </c>
      <c r="J23">
        <f t="shared" si="1"/>
        <v>7</v>
      </c>
      <c r="K23" t="str">
        <f t="shared" si="6"/>
        <v>33.56 </v>
      </c>
      <c r="L23">
        <f t="shared" si="3"/>
        <v>690.45</v>
      </c>
      <c r="M23" t="str">
        <f t="shared" si="7"/>
        <v> T L</v>
      </c>
    </row>
    <row r="24" spans="1:13" ht="15">
      <c r="A24" t="s">
        <v>910</v>
      </c>
      <c r="B24" t="s">
        <v>1646</v>
      </c>
      <c r="C24" t="s">
        <v>911</v>
      </c>
      <c r="D24" t="s">
        <v>3578</v>
      </c>
      <c r="E24" t="s">
        <v>2863</v>
      </c>
      <c r="F24" t="s">
        <v>912</v>
      </c>
      <c r="G24" t="s">
        <v>913</v>
      </c>
      <c r="H24" t="s">
        <v>914</v>
      </c>
      <c r="I24" t="str">
        <f t="shared" si="5"/>
        <v>35.60 mi</v>
      </c>
      <c r="J24">
        <f t="shared" si="1"/>
        <v>7</v>
      </c>
      <c r="K24" t="str">
        <f t="shared" si="6"/>
        <v>35.60 </v>
      </c>
      <c r="L24">
        <f t="shared" si="3"/>
        <v>692.49</v>
      </c>
      <c r="M24" t="str">
        <f t="shared" si="7"/>
        <v> X</v>
      </c>
    </row>
    <row r="25" spans="1:13" ht="15">
      <c r="A25" t="s">
        <v>915</v>
      </c>
      <c r="B25" t="s">
        <v>1647</v>
      </c>
      <c r="C25" t="s">
        <v>916</v>
      </c>
      <c r="D25" t="s">
        <v>2045</v>
      </c>
      <c r="E25" t="s">
        <v>2864</v>
      </c>
      <c r="F25" t="s">
        <v>917</v>
      </c>
      <c r="G25" t="s">
        <v>918</v>
      </c>
      <c r="H25" t="s">
        <v>3248</v>
      </c>
      <c r="I25" t="str">
        <f t="shared" si="5"/>
        <v>36.29 mi</v>
      </c>
      <c r="J25">
        <f t="shared" si="1"/>
        <v>7</v>
      </c>
      <c r="K25" t="str">
        <f t="shared" si="6"/>
        <v>36.29 </v>
      </c>
      <c r="L25">
        <f t="shared" si="3"/>
        <v>693.18</v>
      </c>
      <c r="M25" t="str">
        <f t="shared" si="7"/>
        <v> T L</v>
      </c>
    </row>
    <row r="26" spans="1:13" ht="15">
      <c r="A26" t="s">
        <v>919</v>
      </c>
      <c r="B26" t="s">
        <v>1669</v>
      </c>
      <c r="C26" t="s">
        <v>920</v>
      </c>
      <c r="D26" t="s">
        <v>1622</v>
      </c>
      <c r="E26" t="s">
        <v>2865</v>
      </c>
      <c r="F26" t="s">
        <v>921</v>
      </c>
      <c r="G26" t="s">
        <v>922</v>
      </c>
      <c r="H26" t="s">
        <v>923</v>
      </c>
      <c r="I26" t="str">
        <f t="shared" si="5"/>
        <v>40.33 mi</v>
      </c>
      <c r="J26">
        <f t="shared" si="1"/>
        <v>7</v>
      </c>
      <c r="K26" t="str">
        <f t="shared" si="6"/>
        <v>40.33 </v>
      </c>
      <c r="L26">
        <f t="shared" si="3"/>
        <v>697.22</v>
      </c>
      <c r="M26" t="str">
        <f t="shared" si="7"/>
        <v> STOP</v>
      </c>
    </row>
    <row r="27" spans="1:13" ht="15">
      <c r="A27" t="s">
        <v>924</v>
      </c>
      <c r="B27" t="s">
        <v>1623</v>
      </c>
      <c r="C27" t="s">
        <v>925</v>
      </c>
      <c r="D27" t="s">
        <v>926</v>
      </c>
      <c r="E27" t="s">
        <v>2866</v>
      </c>
      <c r="F27" t="s">
        <v>927</v>
      </c>
      <c r="G27" t="s">
        <v>922</v>
      </c>
      <c r="H27" t="s">
        <v>928</v>
      </c>
      <c r="I27" t="str">
        <f t="shared" si="5"/>
        <v>40.35 mi</v>
      </c>
      <c r="J27">
        <f t="shared" si="1"/>
        <v>7</v>
      </c>
      <c r="K27" t="str">
        <f t="shared" si="6"/>
        <v>40.35 </v>
      </c>
      <c r="L27">
        <f t="shared" si="3"/>
        <v>697.24</v>
      </c>
      <c r="M27" t="str">
        <f t="shared" si="7"/>
        <v> Continue</v>
      </c>
    </row>
    <row r="28" spans="1:13" ht="15">
      <c r="A28" t="s">
        <v>1307</v>
      </c>
      <c r="B28" t="s">
        <v>1644</v>
      </c>
      <c r="C28" t="s">
        <v>1308</v>
      </c>
      <c r="D28" t="s">
        <v>2134</v>
      </c>
      <c r="E28" t="s">
        <v>2867</v>
      </c>
      <c r="F28" t="s">
        <v>1309</v>
      </c>
      <c r="G28" t="s">
        <v>1310</v>
      </c>
      <c r="H28" t="s">
        <v>1311</v>
      </c>
      <c r="I28" t="str">
        <f t="shared" si="5"/>
        <v>41.41 mi</v>
      </c>
      <c r="J28">
        <f t="shared" si="1"/>
        <v>7</v>
      </c>
      <c r="K28" t="str">
        <f t="shared" si="6"/>
        <v>41.41 </v>
      </c>
      <c r="L28">
        <f t="shared" si="3"/>
        <v>698.3</v>
      </c>
      <c r="M28" t="str">
        <f t="shared" si="7"/>
        <v> L</v>
      </c>
    </row>
    <row r="29" spans="1:13" ht="15">
      <c r="A29" t="s">
        <v>1312</v>
      </c>
      <c r="B29" t="s">
        <v>1647</v>
      </c>
      <c r="C29" t="s">
        <v>1313</v>
      </c>
      <c r="D29" t="s">
        <v>1885</v>
      </c>
      <c r="E29" t="s">
        <v>2868</v>
      </c>
      <c r="F29" t="s">
        <v>1314</v>
      </c>
      <c r="G29" t="s">
        <v>1315</v>
      </c>
      <c r="H29" t="s">
        <v>1316</v>
      </c>
      <c r="I29" t="str">
        <f t="shared" si="5"/>
        <v>43.19 mi</v>
      </c>
      <c r="J29">
        <f t="shared" si="1"/>
        <v>7</v>
      </c>
      <c r="K29" t="str">
        <f t="shared" si="6"/>
        <v>43.19 </v>
      </c>
      <c r="L29">
        <f t="shared" si="3"/>
        <v>700.0799999999999</v>
      </c>
      <c r="M29" t="str">
        <f t="shared" si="7"/>
        <v> T L</v>
      </c>
    </row>
    <row r="30" spans="1:13" ht="15">
      <c r="A30" t="s">
        <v>1317</v>
      </c>
      <c r="B30" t="s">
        <v>1631</v>
      </c>
      <c r="C30" t="s">
        <v>2869</v>
      </c>
      <c r="D30" t="s">
        <v>12</v>
      </c>
      <c r="E30" t="s">
        <v>2870</v>
      </c>
      <c r="F30" t="s">
        <v>1318</v>
      </c>
      <c r="G30" t="s">
        <v>1319</v>
      </c>
      <c r="H30" t="s">
        <v>1320</v>
      </c>
      <c r="I30" t="str">
        <f t="shared" si="5"/>
        <v>44.12 mi</v>
      </c>
      <c r="J30">
        <f t="shared" si="1"/>
        <v>7</v>
      </c>
      <c r="K30" t="str">
        <f t="shared" si="6"/>
        <v>44.12 </v>
      </c>
      <c r="L30">
        <f t="shared" si="3"/>
        <v>701.01</v>
      </c>
      <c r="M30" t="str">
        <f t="shared" si="7"/>
        <v> Straight</v>
      </c>
    </row>
    <row r="31" spans="1:13" ht="15">
      <c r="A31" t="s">
        <v>2871</v>
      </c>
      <c r="B31" t="s">
        <v>1641</v>
      </c>
      <c r="C31" t="s">
        <v>1321</v>
      </c>
      <c r="D31" t="s">
        <v>1322</v>
      </c>
      <c r="E31" t="s">
        <v>2872</v>
      </c>
      <c r="F31" t="s">
        <v>1323</v>
      </c>
      <c r="G31" t="s">
        <v>1324</v>
      </c>
      <c r="H31" t="s">
        <v>1325</v>
      </c>
      <c r="I31" t="str">
        <f t="shared" si="5"/>
        <v>44.35 mi</v>
      </c>
      <c r="J31">
        <f t="shared" si="1"/>
        <v>7</v>
      </c>
      <c r="K31" t="str">
        <f t="shared" si="6"/>
        <v>44.35 </v>
      </c>
      <c r="L31">
        <f t="shared" si="3"/>
        <v>701.24</v>
      </c>
      <c r="M31" t="str">
        <f t="shared" si="7"/>
        <v> R</v>
      </c>
    </row>
    <row r="32" spans="1:13" ht="15">
      <c r="A32" t="s">
        <v>1326</v>
      </c>
      <c r="B32" t="s">
        <v>2126</v>
      </c>
      <c r="C32" t="s">
        <v>1327</v>
      </c>
      <c r="D32" t="s">
        <v>2548</v>
      </c>
      <c r="E32" t="s">
        <v>2873</v>
      </c>
      <c r="F32" t="s">
        <v>1328</v>
      </c>
      <c r="G32" t="s">
        <v>1329</v>
      </c>
      <c r="H32" t="s">
        <v>1330</v>
      </c>
      <c r="I32" t="str">
        <f t="shared" si="5"/>
        <v>45.81 mi</v>
      </c>
      <c r="J32">
        <f t="shared" si="1"/>
        <v>7</v>
      </c>
      <c r="K32" t="str">
        <f t="shared" si="6"/>
        <v>45.81 </v>
      </c>
      <c r="L32">
        <f t="shared" si="3"/>
        <v>702.7</v>
      </c>
      <c r="M32" t="str">
        <f t="shared" si="7"/>
        <v> 2nd L</v>
      </c>
    </row>
    <row r="33" spans="1:13" ht="15">
      <c r="A33" t="s">
        <v>1331</v>
      </c>
      <c r="B33" t="s">
        <v>525</v>
      </c>
      <c r="C33" t="s">
        <v>1332</v>
      </c>
      <c r="D33" t="s">
        <v>1649</v>
      </c>
      <c r="E33" t="s">
        <v>3187</v>
      </c>
      <c r="F33" t="s">
        <v>1333</v>
      </c>
      <c r="G33" t="s">
        <v>363</v>
      </c>
      <c r="H33" t="s">
        <v>1334</v>
      </c>
      <c r="I33" t="str">
        <f t="shared" si="5"/>
        <v>46.60 mi</v>
      </c>
      <c r="J33">
        <f t="shared" si="1"/>
        <v>7</v>
      </c>
      <c r="K33" t="str">
        <f t="shared" si="6"/>
        <v>46.60 </v>
      </c>
      <c r="L33">
        <f t="shared" si="3"/>
        <v>703.49</v>
      </c>
      <c r="M33" t="str">
        <f t="shared" si="7"/>
        <v> BL</v>
      </c>
    </row>
    <row r="34" spans="1:13" ht="15">
      <c r="A34" t="s">
        <v>1335</v>
      </c>
      <c r="B34" t="s">
        <v>1336</v>
      </c>
      <c r="C34" t="s">
        <v>1337</v>
      </c>
      <c r="D34" t="s">
        <v>1338</v>
      </c>
      <c r="E34" t="s">
        <v>2874</v>
      </c>
      <c r="F34" t="s">
        <v>1339</v>
      </c>
      <c r="G34" t="s">
        <v>1340</v>
      </c>
      <c r="H34" t="s">
        <v>1334</v>
      </c>
      <c r="I34" t="str">
        <f t="shared" si="5"/>
        <v>46.71 mi</v>
      </c>
      <c r="J34">
        <f t="shared" si="1"/>
        <v>7</v>
      </c>
      <c r="K34" t="str">
        <f t="shared" si="6"/>
        <v>46.71 </v>
      </c>
      <c r="L34">
        <f t="shared" si="3"/>
        <v>703.6</v>
      </c>
      <c r="M34" t="str">
        <f t="shared" si="7"/>
        <v> QR</v>
      </c>
    </row>
    <row r="35" spans="1:13" ht="15">
      <c r="A35" t="s">
        <v>1341</v>
      </c>
      <c r="B35" t="s">
        <v>1342</v>
      </c>
      <c r="C35" t="s">
        <v>1823</v>
      </c>
      <c r="D35" t="s">
        <v>25</v>
      </c>
      <c r="E35" t="s">
        <v>2875</v>
      </c>
      <c r="F35" t="s">
        <v>1343</v>
      </c>
      <c r="G35" t="s">
        <v>1344</v>
      </c>
      <c r="H35" t="s">
        <v>1345</v>
      </c>
      <c r="I35" t="str">
        <f t="shared" si="5"/>
        <v>47.45 mi</v>
      </c>
      <c r="J35">
        <f t="shared" si="1"/>
        <v>7</v>
      </c>
      <c r="K35" t="str">
        <f t="shared" si="6"/>
        <v>47.45 </v>
      </c>
      <c r="L35">
        <f t="shared" si="3"/>
        <v>704.34</v>
      </c>
      <c r="M35" t="str">
        <f t="shared" si="7"/>
        <v> x</v>
      </c>
    </row>
    <row r="36" spans="1:13" ht="15">
      <c r="A36" t="s">
        <v>1827</v>
      </c>
      <c r="B36" t="s">
        <v>1648</v>
      </c>
      <c r="C36" t="s">
        <v>1346</v>
      </c>
      <c r="D36" t="s">
        <v>2415</v>
      </c>
      <c r="E36" t="s">
        <v>2876</v>
      </c>
      <c r="F36" t="s">
        <v>1347</v>
      </c>
      <c r="G36" t="s">
        <v>1348</v>
      </c>
      <c r="H36" t="s">
        <v>1349</v>
      </c>
      <c r="I36" t="str">
        <f t="shared" si="5"/>
        <v>48.28 mi</v>
      </c>
      <c r="J36">
        <f t="shared" si="1"/>
        <v>7</v>
      </c>
      <c r="K36" t="str">
        <f t="shared" si="6"/>
        <v>48.28 </v>
      </c>
      <c r="L36">
        <f t="shared" si="3"/>
        <v>705.17</v>
      </c>
      <c r="M36" t="str">
        <f t="shared" si="7"/>
        <v> T R</v>
      </c>
    </row>
    <row r="37" spans="1:13" ht="15">
      <c r="A37" t="s">
        <v>1350</v>
      </c>
      <c r="B37" t="s">
        <v>1643</v>
      </c>
      <c r="C37" t="s">
        <v>1351</v>
      </c>
      <c r="D37" t="s">
        <v>1352</v>
      </c>
      <c r="E37" t="s">
        <v>2877</v>
      </c>
      <c r="F37" t="s">
        <v>1353</v>
      </c>
      <c r="G37" t="s">
        <v>1354</v>
      </c>
      <c r="H37" t="s">
        <v>1355</v>
      </c>
      <c r="I37" t="str">
        <f t="shared" si="5"/>
        <v>48.76 mi</v>
      </c>
      <c r="J37">
        <f t="shared" si="1"/>
        <v>7</v>
      </c>
      <c r="K37" t="str">
        <f t="shared" si="6"/>
        <v>48.76 </v>
      </c>
      <c r="L37">
        <f t="shared" si="3"/>
        <v>705.65</v>
      </c>
      <c r="M37" t="str">
        <f t="shared" si="7"/>
        <v> 1st L</v>
      </c>
    </row>
    <row r="38" spans="1:13" ht="15">
      <c r="A38" t="s">
        <v>1356</v>
      </c>
      <c r="B38" t="s">
        <v>1646</v>
      </c>
      <c r="C38" t="s">
        <v>1357</v>
      </c>
      <c r="D38" t="s">
        <v>1252</v>
      </c>
      <c r="E38" t="s">
        <v>2878</v>
      </c>
      <c r="F38" t="s">
        <v>1358</v>
      </c>
      <c r="G38" t="s">
        <v>1359</v>
      </c>
      <c r="H38" t="s">
        <v>1360</v>
      </c>
      <c r="I38" t="str">
        <f t="shared" si="5"/>
        <v>53.55 mi</v>
      </c>
      <c r="J38">
        <f t="shared" si="1"/>
        <v>7</v>
      </c>
      <c r="K38" t="str">
        <f t="shared" si="6"/>
        <v>53.55 </v>
      </c>
      <c r="L38">
        <f t="shared" si="3"/>
        <v>710.4399999999999</v>
      </c>
      <c r="M38" t="str">
        <f t="shared" si="7"/>
        <v> X</v>
      </c>
    </row>
    <row r="39" spans="1:13" ht="15">
      <c r="A39" t="s">
        <v>1361</v>
      </c>
      <c r="B39" t="s">
        <v>1648</v>
      </c>
      <c r="C39" t="s">
        <v>1362</v>
      </c>
      <c r="D39" t="s">
        <v>1952</v>
      </c>
      <c r="E39" t="s">
        <v>2879</v>
      </c>
      <c r="F39" t="s">
        <v>1363</v>
      </c>
      <c r="G39" t="s">
        <v>1364</v>
      </c>
      <c r="H39" t="s">
        <v>1365</v>
      </c>
      <c r="I39" t="str">
        <f t="shared" si="5"/>
        <v>54.03 mi</v>
      </c>
      <c r="J39">
        <f t="shared" si="1"/>
        <v>7</v>
      </c>
      <c r="K39" t="str">
        <f t="shared" si="6"/>
        <v>54.03 </v>
      </c>
      <c r="L39">
        <f t="shared" si="3"/>
        <v>710.92</v>
      </c>
      <c r="M39" t="str">
        <f t="shared" si="7"/>
        <v> T R</v>
      </c>
    </row>
    <row r="40" spans="1:13" ht="15">
      <c r="A40" t="s">
        <v>1366</v>
      </c>
      <c r="B40" t="s">
        <v>1643</v>
      </c>
      <c r="C40" t="s">
        <v>966</v>
      </c>
      <c r="D40" t="s">
        <v>25</v>
      </c>
      <c r="E40" t="s">
        <v>2880</v>
      </c>
      <c r="F40" t="s">
        <v>967</v>
      </c>
      <c r="G40" t="s">
        <v>968</v>
      </c>
      <c r="H40" t="s">
        <v>969</v>
      </c>
      <c r="I40" t="str">
        <f t="shared" si="5"/>
        <v>55.40 mi</v>
      </c>
      <c r="J40">
        <f t="shared" si="1"/>
        <v>7</v>
      </c>
      <c r="K40" t="str">
        <f t="shared" si="6"/>
        <v>55.40 </v>
      </c>
      <c r="L40">
        <f t="shared" si="3"/>
        <v>712.29</v>
      </c>
      <c r="M40" t="str">
        <f t="shared" si="7"/>
        <v> 1st L</v>
      </c>
    </row>
    <row r="41" spans="1:13" ht="15">
      <c r="A41" t="s">
        <v>3302</v>
      </c>
      <c r="B41" t="s">
        <v>1641</v>
      </c>
      <c r="C41" t="s">
        <v>3303</v>
      </c>
      <c r="D41" t="s">
        <v>935</v>
      </c>
      <c r="E41" t="s">
        <v>2881</v>
      </c>
      <c r="F41" t="s">
        <v>3304</v>
      </c>
      <c r="G41" t="s">
        <v>1364</v>
      </c>
      <c r="H41" t="s">
        <v>3305</v>
      </c>
      <c r="I41" t="str">
        <f t="shared" si="5"/>
        <v>56.24 mi</v>
      </c>
      <c r="J41">
        <f t="shared" si="1"/>
        <v>7</v>
      </c>
      <c r="K41" t="str">
        <f t="shared" si="6"/>
        <v>56.24 </v>
      </c>
      <c r="L41">
        <f t="shared" si="3"/>
        <v>713.13</v>
      </c>
      <c r="M41" t="str">
        <f t="shared" si="7"/>
        <v> R</v>
      </c>
    </row>
    <row r="42" spans="1:13" ht="15">
      <c r="A42" t="s">
        <v>3306</v>
      </c>
      <c r="B42" t="s">
        <v>1647</v>
      </c>
      <c r="C42" t="s">
        <v>3307</v>
      </c>
      <c r="D42" t="s">
        <v>3308</v>
      </c>
      <c r="E42" t="s">
        <v>2882</v>
      </c>
      <c r="F42" t="s">
        <v>3309</v>
      </c>
      <c r="G42" t="s">
        <v>3310</v>
      </c>
      <c r="H42" t="s">
        <v>3311</v>
      </c>
      <c r="I42" t="str">
        <f t="shared" si="5"/>
        <v>61.22 mi</v>
      </c>
      <c r="J42">
        <f t="shared" si="1"/>
        <v>7</v>
      </c>
      <c r="K42" t="str">
        <f t="shared" si="6"/>
        <v>61.22 </v>
      </c>
      <c r="L42">
        <f t="shared" si="3"/>
        <v>718.11</v>
      </c>
      <c r="M42" t="str">
        <f t="shared" si="7"/>
        <v> T L</v>
      </c>
    </row>
    <row r="43" spans="1:13" ht="15">
      <c r="A43" t="s">
        <v>3312</v>
      </c>
      <c r="B43" t="s">
        <v>1648</v>
      </c>
      <c r="C43" t="s">
        <v>2883</v>
      </c>
      <c r="D43" t="s">
        <v>2478</v>
      </c>
      <c r="E43" t="s">
        <v>2884</v>
      </c>
      <c r="F43" t="s">
        <v>2885</v>
      </c>
      <c r="G43" t="s">
        <v>3314</v>
      </c>
      <c r="H43" t="s">
        <v>3315</v>
      </c>
      <c r="I43" t="str">
        <f t="shared" si="5"/>
        <v>62.98 mi</v>
      </c>
      <c r="J43">
        <f t="shared" si="1"/>
        <v>7</v>
      </c>
      <c r="K43" t="str">
        <f t="shared" si="6"/>
        <v>62.98 </v>
      </c>
      <c r="L43">
        <f t="shared" si="3"/>
        <v>719.87</v>
      </c>
      <c r="M43" t="str">
        <f t="shared" si="7"/>
        <v> T R</v>
      </c>
    </row>
    <row r="44" spans="1:13" ht="15">
      <c r="A44" t="s">
        <v>2886</v>
      </c>
      <c r="B44" t="s">
        <v>2887</v>
      </c>
      <c r="C44" t="s">
        <v>3313</v>
      </c>
      <c r="D44" t="s">
        <v>2575</v>
      </c>
      <c r="E44" t="s">
        <v>2888</v>
      </c>
      <c r="F44" t="s">
        <v>2889</v>
      </c>
      <c r="G44" t="s">
        <v>2890</v>
      </c>
      <c r="H44" t="s">
        <v>2891</v>
      </c>
      <c r="I44" t="str">
        <f t="shared" si="5"/>
        <v>63.03 mi</v>
      </c>
      <c r="J44">
        <f t="shared" si="1"/>
        <v>7</v>
      </c>
      <c r="K44" t="str">
        <f t="shared" si="6"/>
        <v>63.03 </v>
      </c>
      <c r="L44">
        <f t="shared" si="3"/>
        <v>719.92</v>
      </c>
      <c r="M44" t="str">
        <f t="shared" si="7"/>
        <v> QBL</v>
      </c>
    </row>
    <row r="45" spans="1:13" ht="15">
      <c r="A45" t="s">
        <v>3316</v>
      </c>
      <c r="B45" t="s">
        <v>1644</v>
      </c>
      <c r="C45" t="s">
        <v>3317</v>
      </c>
      <c r="D45" t="s">
        <v>3318</v>
      </c>
      <c r="E45" t="s">
        <v>2892</v>
      </c>
      <c r="F45" t="s">
        <v>3319</v>
      </c>
      <c r="G45" t="s">
        <v>3320</v>
      </c>
      <c r="H45" t="s">
        <v>3321</v>
      </c>
      <c r="I45" t="str">
        <f t="shared" si="5"/>
        <v>63.60 mi</v>
      </c>
      <c r="J45">
        <f t="shared" si="1"/>
        <v>7</v>
      </c>
      <c r="K45" t="str">
        <f t="shared" si="6"/>
        <v>63.60 </v>
      </c>
      <c r="L45">
        <f t="shared" si="3"/>
        <v>720.49</v>
      </c>
      <c r="M45" t="str">
        <f t="shared" si="7"/>
        <v> L</v>
      </c>
    </row>
    <row r="46" spans="1:13" ht="15">
      <c r="A46" t="s">
        <v>3322</v>
      </c>
      <c r="B46" t="s">
        <v>1646</v>
      </c>
      <c r="C46" t="s">
        <v>3323</v>
      </c>
      <c r="D46" t="s">
        <v>1593</v>
      </c>
      <c r="E46" t="s">
        <v>2893</v>
      </c>
      <c r="F46" t="s">
        <v>3324</v>
      </c>
      <c r="G46" t="s">
        <v>3325</v>
      </c>
      <c r="H46" t="s">
        <v>3326</v>
      </c>
      <c r="I46" t="str">
        <f t="shared" si="5"/>
        <v>65.32 mi</v>
      </c>
      <c r="J46">
        <f t="shared" si="1"/>
        <v>7</v>
      </c>
      <c r="K46" t="str">
        <f t="shared" si="6"/>
        <v>65.32 </v>
      </c>
      <c r="L46">
        <f t="shared" si="3"/>
        <v>722.21</v>
      </c>
      <c r="M46" t="str">
        <f t="shared" si="7"/>
        <v> X</v>
      </c>
    </row>
    <row r="47" spans="1:13" ht="15">
      <c r="A47" t="s">
        <v>3327</v>
      </c>
      <c r="B47" t="s">
        <v>1647</v>
      </c>
      <c r="C47" t="s">
        <v>3328</v>
      </c>
      <c r="D47" t="s">
        <v>2482</v>
      </c>
      <c r="E47" t="s">
        <v>2894</v>
      </c>
      <c r="F47" t="s">
        <v>3329</v>
      </c>
      <c r="G47" t="s">
        <v>3330</v>
      </c>
      <c r="H47" t="s">
        <v>3331</v>
      </c>
      <c r="I47" t="str">
        <f t="shared" si="5"/>
        <v>65.59 mi</v>
      </c>
      <c r="J47">
        <f t="shared" si="1"/>
        <v>7</v>
      </c>
      <c r="K47" t="str">
        <f t="shared" si="6"/>
        <v>65.59 </v>
      </c>
      <c r="L47">
        <f t="shared" si="3"/>
        <v>722.48</v>
      </c>
      <c r="M47" t="str">
        <f t="shared" si="7"/>
        <v> T L</v>
      </c>
    </row>
    <row r="48" spans="1:13" ht="15">
      <c r="A48" t="s">
        <v>3332</v>
      </c>
      <c r="B48" t="s">
        <v>1646</v>
      </c>
      <c r="C48" t="s">
        <v>3333</v>
      </c>
      <c r="D48" t="s">
        <v>3572</v>
      </c>
      <c r="E48" t="s">
        <v>2895</v>
      </c>
      <c r="F48" t="s">
        <v>1686</v>
      </c>
      <c r="G48" t="s">
        <v>3334</v>
      </c>
      <c r="H48" t="s">
        <v>3335</v>
      </c>
      <c r="I48" t="str">
        <f t="shared" si="5"/>
        <v>65.77 mi</v>
      </c>
      <c r="J48">
        <f t="shared" si="1"/>
        <v>7</v>
      </c>
      <c r="K48" t="str">
        <f t="shared" si="6"/>
        <v>65.77 </v>
      </c>
      <c r="L48">
        <f t="shared" si="3"/>
        <v>722.66</v>
      </c>
      <c r="M48" t="str">
        <f t="shared" si="7"/>
        <v> X</v>
      </c>
    </row>
    <row r="49" spans="1:13" ht="15">
      <c r="A49" t="s">
        <v>3336</v>
      </c>
      <c r="B49" t="s">
        <v>1641</v>
      </c>
      <c r="C49" t="s">
        <v>3337</v>
      </c>
      <c r="D49" t="s">
        <v>2476</v>
      </c>
      <c r="E49" t="s">
        <v>2896</v>
      </c>
      <c r="F49" t="s">
        <v>3338</v>
      </c>
      <c r="G49" t="s">
        <v>3339</v>
      </c>
      <c r="H49" t="s">
        <v>3335</v>
      </c>
      <c r="I49" t="str">
        <f t="shared" si="5"/>
        <v>65.93 mi</v>
      </c>
      <c r="J49">
        <f t="shared" si="1"/>
        <v>7</v>
      </c>
      <c r="K49" t="str">
        <f t="shared" si="6"/>
        <v>65.93 </v>
      </c>
      <c r="L49">
        <f t="shared" si="3"/>
        <v>722.8199999999999</v>
      </c>
      <c r="M49" t="str">
        <f t="shared" si="7"/>
        <v> R</v>
      </c>
    </row>
    <row r="50" spans="1:13" ht="15">
      <c r="A50" t="s">
        <v>3340</v>
      </c>
      <c r="B50" t="s">
        <v>1646</v>
      </c>
      <c r="C50" t="s">
        <v>3341</v>
      </c>
      <c r="D50" t="s">
        <v>2501</v>
      </c>
      <c r="E50" t="s">
        <v>2897</v>
      </c>
      <c r="F50" t="s">
        <v>3342</v>
      </c>
      <c r="G50" t="s">
        <v>3343</v>
      </c>
      <c r="H50" t="s">
        <v>3344</v>
      </c>
      <c r="I50" t="str">
        <f t="shared" si="5"/>
        <v>66.28 mi</v>
      </c>
      <c r="J50">
        <f t="shared" si="1"/>
        <v>7</v>
      </c>
      <c r="K50" t="str">
        <f t="shared" si="6"/>
        <v>66.28 </v>
      </c>
      <c r="L50">
        <f t="shared" si="3"/>
        <v>723.17</v>
      </c>
      <c r="M50" t="str">
        <f t="shared" si="7"/>
        <v> X</v>
      </c>
    </row>
    <row r="51" spans="1:13" ht="15">
      <c r="A51" t="s">
        <v>3345</v>
      </c>
      <c r="B51" t="s">
        <v>1643</v>
      </c>
      <c r="C51" t="s">
        <v>3346</v>
      </c>
      <c r="D51" t="s">
        <v>1971</v>
      </c>
      <c r="E51" t="s">
        <v>2898</v>
      </c>
      <c r="F51" t="s">
        <v>3347</v>
      </c>
      <c r="G51" t="s">
        <v>3348</v>
      </c>
      <c r="H51" t="s">
        <v>3349</v>
      </c>
      <c r="I51" t="str">
        <f t="shared" si="5"/>
        <v>66.67 mi</v>
      </c>
      <c r="J51">
        <f t="shared" si="1"/>
        <v>7</v>
      </c>
      <c r="K51" t="str">
        <f t="shared" si="6"/>
        <v>66.67 </v>
      </c>
      <c r="L51">
        <f t="shared" si="3"/>
        <v>723.56</v>
      </c>
      <c r="M51" t="str">
        <f t="shared" si="7"/>
        <v> 1st L</v>
      </c>
    </row>
    <row r="52" spans="1:13" ht="15">
      <c r="A52" t="s">
        <v>3350</v>
      </c>
      <c r="B52" t="s">
        <v>1651</v>
      </c>
      <c r="C52" t="s">
        <v>3351</v>
      </c>
      <c r="D52" t="s">
        <v>3352</v>
      </c>
      <c r="E52" t="s">
        <v>2899</v>
      </c>
      <c r="F52" t="s">
        <v>3353</v>
      </c>
      <c r="G52" t="s">
        <v>3354</v>
      </c>
      <c r="H52" t="s">
        <v>3355</v>
      </c>
      <c r="I52" t="str">
        <f t="shared" si="5"/>
        <v>67.90 mi</v>
      </c>
      <c r="J52">
        <f t="shared" si="1"/>
        <v>7</v>
      </c>
      <c r="K52" t="str">
        <f t="shared" si="6"/>
        <v>67.90 </v>
      </c>
      <c r="L52">
        <f t="shared" si="3"/>
        <v>724.79</v>
      </c>
      <c r="M52" t="str">
        <f t="shared" si="7"/>
        <v> 1st R</v>
      </c>
    </row>
    <row r="53" spans="1:13" ht="15">
      <c r="A53" t="s">
        <v>3356</v>
      </c>
      <c r="B53" t="s">
        <v>1647</v>
      </c>
      <c r="C53" t="s">
        <v>3357</v>
      </c>
      <c r="D53" t="s">
        <v>1885</v>
      </c>
      <c r="E53" t="s">
        <v>2900</v>
      </c>
      <c r="F53" t="s">
        <v>3358</v>
      </c>
      <c r="G53" t="s">
        <v>3359</v>
      </c>
      <c r="H53" t="s">
        <v>247</v>
      </c>
      <c r="I53" t="str">
        <f t="shared" si="5"/>
        <v>70.94 mi</v>
      </c>
      <c r="J53">
        <f t="shared" si="1"/>
        <v>7</v>
      </c>
      <c r="K53" t="str">
        <f t="shared" si="6"/>
        <v>70.94 </v>
      </c>
      <c r="L53">
        <f t="shared" si="3"/>
        <v>727.8299999999999</v>
      </c>
      <c r="M53" t="str">
        <f t="shared" si="7"/>
        <v> T L</v>
      </c>
    </row>
    <row r="54" spans="1:13" ht="15">
      <c r="A54" t="s">
        <v>3360</v>
      </c>
      <c r="B54" t="s">
        <v>1648</v>
      </c>
      <c r="C54" t="s">
        <v>3361</v>
      </c>
      <c r="D54" t="s">
        <v>2499</v>
      </c>
      <c r="E54" t="s">
        <v>2901</v>
      </c>
      <c r="F54" t="s">
        <v>3362</v>
      </c>
      <c r="G54" t="s">
        <v>3363</v>
      </c>
      <c r="H54" t="s">
        <v>3364</v>
      </c>
      <c r="I54" t="str">
        <f t="shared" si="5"/>
        <v>71.88 mi</v>
      </c>
      <c r="J54">
        <f t="shared" si="1"/>
        <v>7</v>
      </c>
      <c r="K54" t="str">
        <f t="shared" si="6"/>
        <v>71.88 </v>
      </c>
      <c r="L54">
        <f t="shared" si="3"/>
        <v>728.77</v>
      </c>
      <c r="M54" t="str">
        <f t="shared" si="7"/>
        <v> T R</v>
      </c>
    </row>
    <row r="55" spans="1:13" ht="15">
      <c r="A55" t="s">
        <v>3365</v>
      </c>
      <c r="B55" t="s">
        <v>1648</v>
      </c>
      <c r="C55" t="s">
        <v>1203</v>
      </c>
      <c r="D55" t="s">
        <v>3572</v>
      </c>
      <c r="E55" t="s">
        <v>2902</v>
      </c>
      <c r="F55" t="s">
        <v>3366</v>
      </c>
      <c r="G55" t="s">
        <v>3367</v>
      </c>
      <c r="H55" t="s">
        <v>3368</v>
      </c>
      <c r="I55" t="str">
        <f t="shared" si="5"/>
        <v>72.15 mi</v>
      </c>
      <c r="J55">
        <f t="shared" si="1"/>
        <v>7</v>
      </c>
      <c r="K55" t="str">
        <f t="shared" si="6"/>
        <v>72.15 </v>
      </c>
      <c r="L55">
        <f t="shared" si="3"/>
        <v>729.04</v>
      </c>
      <c r="M55" t="str">
        <f t="shared" si="7"/>
        <v> T R</v>
      </c>
    </row>
    <row r="56" spans="1:13" ht="15">
      <c r="A56" t="s">
        <v>1204</v>
      </c>
      <c r="B56" t="s">
        <v>1669</v>
      </c>
      <c r="C56" t="s">
        <v>3369</v>
      </c>
      <c r="D56" t="s">
        <v>1622</v>
      </c>
      <c r="E56" t="s">
        <v>2903</v>
      </c>
      <c r="F56" t="s">
        <v>3370</v>
      </c>
      <c r="G56" t="s">
        <v>3371</v>
      </c>
      <c r="H56" t="s">
        <v>3372</v>
      </c>
      <c r="I56" t="str">
        <f t="shared" si="5"/>
        <v>72.32 mi</v>
      </c>
      <c r="J56">
        <f t="shared" si="1"/>
        <v>7</v>
      </c>
      <c r="K56" t="str">
        <f t="shared" si="6"/>
        <v>72.32 </v>
      </c>
      <c r="L56">
        <f t="shared" si="3"/>
        <v>729.21</v>
      </c>
      <c r="M56" t="str">
        <f t="shared" si="7"/>
        <v> STOP</v>
      </c>
    </row>
    <row r="57" spans="1:13" ht="15">
      <c r="A57" t="s">
        <v>3373</v>
      </c>
      <c r="B57" t="s">
        <v>1616</v>
      </c>
      <c r="C57" t="s">
        <v>3374</v>
      </c>
      <c r="D57" t="s">
        <v>3375</v>
      </c>
      <c r="E57" t="s">
        <v>2904</v>
      </c>
      <c r="F57" t="s">
        <v>3376</v>
      </c>
      <c r="G57" t="s">
        <v>3371</v>
      </c>
      <c r="H57" t="s">
        <v>1250</v>
      </c>
      <c r="I57" t="str">
        <f t="shared" si="5"/>
        <v>72.34 mi</v>
      </c>
      <c r="J57">
        <f t="shared" si="1"/>
        <v>7</v>
      </c>
      <c r="K57" t="str">
        <f t="shared" si="6"/>
        <v>72.34 </v>
      </c>
      <c r="L57">
        <f t="shared" si="3"/>
        <v>729.23</v>
      </c>
      <c r="M57" t="str">
        <f t="shared" si="7"/>
        <v> Turn</v>
      </c>
    </row>
    <row r="58" spans="1:13" ht="15">
      <c r="A58" t="s">
        <v>3377</v>
      </c>
      <c r="B58" t="s">
        <v>1644</v>
      </c>
      <c r="C58" t="s">
        <v>3378</v>
      </c>
      <c r="D58" t="s">
        <v>1011</v>
      </c>
      <c r="E58" t="s">
        <v>2905</v>
      </c>
      <c r="F58" t="s">
        <v>1012</v>
      </c>
      <c r="G58" t="s">
        <v>1013</v>
      </c>
      <c r="H58" t="s">
        <v>1014</v>
      </c>
      <c r="I58" t="str">
        <f t="shared" si="5"/>
        <v>73.55 mi</v>
      </c>
      <c r="J58">
        <f t="shared" si="1"/>
        <v>7</v>
      </c>
      <c r="K58" t="str">
        <f t="shared" si="6"/>
        <v>73.55 </v>
      </c>
      <c r="L58">
        <f t="shared" si="3"/>
        <v>730.4399999999999</v>
      </c>
      <c r="M58" t="str">
        <f t="shared" si="7"/>
        <v> L</v>
      </c>
    </row>
    <row r="59" spans="1:13" ht="15">
      <c r="A59" t="s">
        <v>1015</v>
      </c>
      <c r="B59" t="s">
        <v>1647</v>
      </c>
      <c r="C59" t="s">
        <v>1016</v>
      </c>
      <c r="D59" t="s">
        <v>1338</v>
      </c>
      <c r="E59" t="s">
        <v>2906</v>
      </c>
      <c r="F59" t="s">
        <v>1017</v>
      </c>
      <c r="G59" t="s">
        <v>1018</v>
      </c>
      <c r="H59" t="s">
        <v>1019</v>
      </c>
      <c r="I59" t="str">
        <f t="shared" si="5"/>
        <v>76.61 mi</v>
      </c>
      <c r="J59">
        <f t="shared" si="1"/>
        <v>7</v>
      </c>
      <c r="K59" t="str">
        <f t="shared" si="6"/>
        <v>76.61 </v>
      </c>
      <c r="L59">
        <f t="shared" si="3"/>
        <v>733.5</v>
      </c>
      <c r="M59" t="str">
        <f t="shared" si="7"/>
        <v> T L</v>
      </c>
    </row>
    <row r="60" spans="1:13" ht="15">
      <c r="A60" t="s">
        <v>1020</v>
      </c>
      <c r="B60" t="s">
        <v>1644</v>
      </c>
      <c r="C60" t="s">
        <v>1021</v>
      </c>
      <c r="D60" t="s">
        <v>3381</v>
      </c>
      <c r="E60" t="s">
        <v>2907</v>
      </c>
      <c r="F60" t="s">
        <v>1022</v>
      </c>
      <c r="G60" t="s">
        <v>1023</v>
      </c>
      <c r="H60" t="s">
        <v>1024</v>
      </c>
      <c r="I60" t="str">
        <f t="shared" si="5"/>
        <v>77.33 mi</v>
      </c>
      <c r="J60">
        <f t="shared" si="1"/>
        <v>7</v>
      </c>
      <c r="K60" t="str">
        <f t="shared" si="6"/>
        <v>77.33 </v>
      </c>
      <c r="L60">
        <f t="shared" si="3"/>
        <v>734.22</v>
      </c>
      <c r="M60" t="str">
        <f t="shared" si="7"/>
        <v> L</v>
      </c>
    </row>
    <row r="61" spans="1:13" ht="15">
      <c r="A61" t="s">
        <v>1025</v>
      </c>
      <c r="B61" t="s">
        <v>1646</v>
      </c>
      <c r="C61" t="s">
        <v>1026</v>
      </c>
      <c r="D61" t="s">
        <v>3512</v>
      </c>
      <c r="E61" t="s">
        <v>2908</v>
      </c>
      <c r="F61" t="s">
        <v>1027</v>
      </c>
      <c r="G61" t="s">
        <v>3348</v>
      </c>
      <c r="H61" t="s">
        <v>1028</v>
      </c>
      <c r="I61" t="str">
        <f t="shared" si="5"/>
        <v>78.70 mi</v>
      </c>
      <c r="J61">
        <f t="shared" si="1"/>
        <v>7</v>
      </c>
      <c r="K61" t="str">
        <f t="shared" si="6"/>
        <v>78.70 </v>
      </c>
      <c r="L61">
        <f t="shared" si="3"/>
        <v>735.59</v>
      </c>
      <c r="M61" t="str">
        <f t="shared" si="7"/>
        <v> X</v>
      </c>
    </row>
    <row r="62" spans="1:13" ht="15">
      <c r="A62" t="s">
        <v>1029</v>
      </c>
      <c r="B62" t="s">
        <v>1648</v>
      </c>
      <c r="C62" t="s">
        <v>1030</v>
      </c>
      <c r="D62" t="s">
        <v>1610</v>
      </c>
      <c r="E62" t="s">
        <v>2909</v>
      </c>
      <c r="F62" t="s">
        <v>1031</v>
      </c>
      <c r="G62" t="s">
        <v>1032</v>
      </c>
      <c r="H62" t="s">
        <v>1033</v>
      </c>
      <c r="I62" t="str">
        <f t="shared" si="5"/>
        <v>79.82 mi</v>
      </c>
      <c r="J62">
        <f t="shared" si="1"/>
        <v>7</v>
      </c>
      <c r="K62" t="str">
        <f t="shared" si="6"/>
        <v>79.82 </v>
      </c>
      <c r="L62">
        <f t="shared" si="3"/>
        <v>736.71</v>
      </c>
      <c r="M62" t="str">
        <f t="shared" si="7"/>
        <v> T R</v>
      </c>
    </row>
    <row r="63" spans="1:13" ht="15">
      <c r="A63" t="s">
        <v>1034</v>
      </c>
      <c r="B63" t="s">
        <v>1643</v>
      </c>
      <c r="C63" t="s">
        <v>1172</v>
      </c>
      <c r="D63" t="s">
        <v>1035</v>
      </c>
      <c r="E63" t="s">
        <v>2910</v>
      </c>
      <c r="F63" t="s">
        <v>1036</v>
      </c>
      <c r="G63" t="s">
        <v>1037</v>
      </c>
      <c r="H63" t="s">
        <v>1038</v>
      </c>
      <c r="I63" t="str">
        <f t="shared" si="5"/>
        <v>80.19 mi</v>
      </c>
      <c r="J63">
        <f t="shared" si="1"/>
        <v>7</v>
      </c>
      <c r="K63" t="str">
        <f t="shared" si="6"/>
        <v>80.19 </v>
      </c>
      <c r="L63">
        <f t="shared" si="3"/>
        <v>737.0799999999999</v>
      </c>
      <c r="M63" t="str">
        <f t="shared" si="7"/>
        <v> 1st L</v>
      </c>
    </row>
    <row r="64" spans="1:13" ht="15">
      <c r="A64" t="s">
        <v>1173</v>
      </c>
      <c r="B64" t="s">
        <v>1647</v>
      </c>
      <c r="C64" t="s">
        <v>1039</v>
      </c>
      <c r="D64" t="s">
        <v>12</v>
      </c>
      <c r="E64" t="s">
        <v>2911</v>
      </c>
      <c r="F64" t="s">
        <v>1040</v>
      </c>
      <c r="G64" t="s">
        <v>1041</v>
      </c>
      <c r="H64" t="s">
        <v>1889</v>
      </c>
      <c r="I64" t="str">
        <f t="shared" si="5"/>
        <v>80.86 mi</v>
      </c>
      <c r="J64">
        <f t="shared" si="1"/>
        <v>7</v>
      </c>
      <c r="K64" t="str">
        <f t="shared" si="6"/>
        <v>80.86 </v>
      </c>
      <c r="L64">
        <f t="shared" si="3"/>
        <v>737.75</v>
      </c>
      <c r="M64" t="str">
        <f t="shared" si="7"/>
        <v> T L</v>
      </c>
    </row>
    <row r="65" spans="1:13" ht="15">
      <c r="A65" t="s">
        <v>1890</v>
      </c>
      <c r="B65" t="s">
        <v>3533</v>
      </c>
      <c r="C65" t="s">
        <v>1891</v>
      </c>
      <c r="D65" t="s">
        <v>1381</v>
      </c>
      <c r="E65" t="s">
        <v>2912</v>
      </c>
      <c r="F65" t="s">
        <v>1892</v>
      </c>
      <c r="G65" t="s">
        <v>1893</v>
      </c>
      <c r="H65" t="s">
        <v>1894</v>
      </c>
      <c r="I65" t="str">
        <f t="shared" si="5"/>
        <v>81.11 mi</v>
      </c>
      <c r="J65">
        <f t="shared" si="1"/>
        <v>7</v>
      </c>
      <c r="K65" t="str">
        <f t="shared" si="6"/>
        <v>81.11 </v>
      </c>
      <c r="L65">
        <f t="shared" si="3"/>
        <v>738</v>
      </c>
      <c r="M65" t="str">
        <f t="shared" si="7"/>
        <v> 2nd R</v>
      </c>
    </row>
    <row r="66" spans="1:13" ht="15">
      <c r="A66" t="s">
        <v>1895</v>
      </c>
      <c r="B66" t="s">
        <v>1651</v>
      </c>
      <c r="C66" t="s">
        <v>1174</v>
      </c>
      <c r="D66" t="s">
        <v>1252</v>
      </c>
      <c r="E66" t="s">
        <v>2913</v>
      </c>
      <c r="F66" t="s">
        <v>1896</v>
      </c>
      <c r="G66" t="s">
        <v>1897</v>
      </c>
      <c r="H66" t="s">
        <v>1898</v>
      </c>
      <c r="I66" t="str">
        <f t="shared" si="5"/>
        <v>81.80 mi</v>
      </c>
      <c r="J66">
        <f aca="true" t="shared" si="8" ref="J66:J88">FIND("mi",I66)</f>
        <v>7</v>
      </c>
      <c r="K66" t="str">
        <f t="shared" si="6"/>
        <v>81.80 </v>
      </c>
      <c r="L66">
        <f aca="true" t="shared" si="9" ref="L66:L88">$L$1+K66</f>
        <v>738.6899999999999</v>
      </c>
      <c r="M66" t="str">
        <f t="shared" si="7"/>
        <v> 1st R</v>
      </c>
    </row>
    <row r="67" spans="1:13" ht="15">
      <c r="A67" t="s">
        <v>1175</v>
      </c>
      <c r="B67" t="s">
        <v>1646</v>
      </c>
      <c r="C67" t="s">
        <v>1176</v>
      </c>
      <c r="D67" t="s">
        <v>2473</v>
      </c>
      <c r="E67" t="s">
        <v>2914</v>
      </c>
      <c r="F67" t="s">
        <v>1177</v>
      </c>
      <c r="G67" t="s">
        <v>1493</v>
      </c>
      <c r="H67" t="s">
        <v>1494</v>
      </c>
      <c r="I67" t="str">
        <f t="shared" si="5"/>
        <v>82.27 mi</v>
      </c>
      <c r="J67">
        <f t="shared" si="8"/>
        <v>7</v>
      </c>
      <c r="K67" t="str">
        <f t="shared" si="6"/>
        <v>82.27 </v>
      </c>
      <c r="L67">
        <f t="shared" si="9"/>
        <v>739.16</v>
      </c>
      <c r="M67" t="str">
        <f t="shared" si="7"/>
        <v> X</v>
      </c>
    </row>
    <row r="68" spans="1:13" ht="15">
      <c r="A68" t="s">
        <v>1178</v>
      </c>
      <c r="B68" t="s">
        <v>525</v>
      </c>
      <c r="C68" t="s">
        <v>1179</v>
      </c>
      <c r="D68" t="s">
        <v>1382</v>
      </c>
      <c r="E68" t="s">
        <v>2192</v>
      </c>
      <c r="F68" t="s">
        <v>1180</v>
      </c>
      <c r="G68" t="s">
        <v>1181</v>
      </c>
      <c r="H68" t="s">
        <v>1182</v>
      </c>
      <c r="I68" t="str">
        <f t="shared" si="5"/>
        <v>82.68 mi</v>
      </c>
      <c r="J68">
        <f t="shared" si="8"/>
        <v>7</v>
      </c>
      <c r="K68" t="str">
        <f t="shared" si="6"/>
        <v>82.68 </v>
      </c>
      <c r="L68">
        <f t="shared" si="9"/>
        <v>739.5699999999999</v>
      </c>
      <c r="M68" t="str">
        <f t="shared" si="7"/>
        <v> BL</v>
      </c>
    </row>
    <row r="69" spans="1:13" ht="15">
      <c r="A69" t="s">
        <v>1183</v>
      </c>
      <c r="B69" t="s">
        <v>1184</v>
      </c>
      <c r="C69" t="s">
        <v>1185</v>
      </c>
      <c r="D69" t="s">
        <v>1601</v>
      </c>
      <c r="E69" t="s">
        <v>2915</v>
      </c>
      <c r="F69" t="s">
        <v>1186</v>
      </c>
      <c r="G69" t="s">
        <v>1187</v>
      </c>
      <c r="H69" t="s">
        <v>1188</v>
      </c>
      <c r="I69" t="str">
        <f t="shared" si="5"/>
        <v>82.90 mi</v>
      </c>
      <c r="J69">
        <f t="shared" si="8"/>
        <v>7</v>
      </c>
      <c r="K69" t="str">
        <f t="shared" si="6"/>
        <v>82.90 </v>
      </c>
      <c r="L69">
        <f t="shared" si="9"/>
        <v>739.79</v>
      </c>
      <c r="M69" t="str">
        <f t="shared" si="7"/>
        <v> 1st BL</v>
      </c>
    </row>
    <row r="70" spans="1:13" ht="15">
      <c r="A70" t="s">
        <v>1189</v>
      </c>
      <c r="B70" t="s">
        <v>1648</v>
      </c>
      <c r="C70" t="s">
        <v>2916</v>
      </c>
      <c r="D70" t="s">
        <v>1266</v>
      </c>
      <c r="E70" t="s">
        <v>2917</v>
      </c>
      <c r="F70" t="s">
        <v>1190</v>
      </c>
      <c r="G70" t="s">
        <v>1191</v>
      </c>
      <c r="H70" t="s">
        <v>1192</v>
      </c>
      <c r="I70" t="str">
        <f t="shared" si="5"/>
        <v>83.80 mi</v>
      </c>
      <c r="J70">
        <f t="shared" si="8"/>
        <v>7</v>
      </c>
      <c r="K70" t="str">
        <f t="shared" si="6"/>
        <v>83.80 </v>
      </c>
      <c r="L70">
        <f t="shared" si="9"/>
        <v>740.6899999999999</v>
      </c>
      <c r="M70" t="str">
        <f t="shared" si="7"/>
        <v> T R</v>
      </c>
    </row>
    <row r="71" spans="1:13" ht="15">
      <c r="A71" t="s">
        <v>2918</v>
      </c>
      <c r="B71" t="s">
        <v>1646</v>
      </c>
      <c r="C71" t="s">
        <v>1495</v>
      </c>
      <c r="D71" t="s">
        <v>1959</v>
      </c>
      <c r="E71" t="s">
        <v>2919</v>
      </c>
      <c r="F71" t="s">
        <v>1496</v>
      </c>
      <c r="G71" t="s">
        <v>1497</v>
      </c>
      <c r="H71" t="s">
        <v>1498</v>
      </c>
      <c r="I71" t="str">
        <f t="shared" si="5"/>
        <v>84.44 mi</v>
      </c>
      <c r="J71">
        <f t="shared" si="8"/>
        <v>7</v>
      </c>
      <c r="K71" t="str">
        <f t="shared" si="6"/>
        <v>84.44 </v>
      </c>
      <c r="L71">
        <f t="shared" si="9"/>
        <v>741.3299999999999</v>
      </c>
      <c r="M71" t="str">
        <f t="shared" si="7"/>
        <v> X</v>
      </c>
    </row>
    <row r="72" spans="1:13" ht="15">
      <c r="A72" t="s">
        <v>1499</v>
      </c>
      <c r="B72" t="s">
        <v>1650</v>
      </c>
      <c r="C72" t="s">
        <v>1500</v>
      </c>
      <c r="D72" t="s">
        <v>3609</v>
      </c>
      <c r="E72" t="s">
        <v>2920</v>
      </c>
      <c r="F72" t="s">
        <v>1501</v>
      </c>
      <c r="G72" t="s">
        <v>1502</v>
      </c>
      <c r="H72" t="s">
        <v>1503</v>
      </c>
      <c r="I72" t="str">
        <f t="shared" si="5"/>
        <v>86.82 mi</v>
      </c>
      <c r="J72">
        <f t="shared" si="8"/>
        <v>7</v>
      </c>
      <c r="K72" t="str">
        <f t="shared" si="6"/>
        <v>86.82 </v>
      </c>
      <c r="L72">
        <f t="shared" si="9"/>
        <v>743.71</v>
      </c>
      <c r="M72" t="str">
        <f t="shared" si="7"/>
        <v> Pass</v>
      </c>
    </row>
    <row r="73" spans="1:13" ht="15">
      <c r="A73" t="s">
        <v>1504</v>
      </c>
      <c r="B73" t="s">
        <v>1644</v>
      </c>
      <c r="C73" t="s">
        <v>1505</v>
      </c>
      <c r="D73" t="s">
        <v>2489</v>
      </c>
      <c r="E73" t="s">
        <v>2921</v>
      </c>
      <c r="F73" t="s">
        <v>1506</v>
      </c>
      <c r="G73" t="s">
        <v>1507</v>
      </c>
      <c r="H73" t="s">
        <v>1508</v>
      </c>
      <c r="I73" t="str">
        <f t="shared" si="5"/>
        <v>88.82 mi</v>
      </c>
      <c r="J73">
        <f t="shared" si="8"/>
        <v>7</v>
      </c>
      <c r="K73" t="str">
        <f t="shared" si="6"/>
        <v>88.82 </v>
      </c>
      <c r="L73">
        <f t="shared" si="9"/>
        <v>745.71</v>
      </c>
      <c r="M73" t="str">
        <f t="shared" si="7"/>
        <v> L</v>
      </c>
    </row>
    <row r="74" spans="1:13" ht="15">
      <c r="A74" t="s">
        <v>1509</v>
      </c>
      <c r="B74" t="s">
        <v>1647</v>
      </c>
      <c r="C74" t="s">
        <v>1510</v>
      </c>
      <c r="D74" t="s">
        <v>1381</v>
      </c>
      <c r="E74" t="s">
        <v>2922</v>
      </c>
      <c r="F74" t="s">
        <v>1511</v>
      </c>
      <c r="G74" t="s">
        <v>1512</v>
      </c>
      <c r="H74" t="s">
        <v>1513</v>
      </c>
      <c r="I74" t="str">
        <f t="shared" si="5"/>
        <v>89.53 mi</v>
      </c>
      <c r="J74">
        <f t="shared" si="8"/>
        <v>7</v>
      </c>
      <c r="K74" t="str">
        <f t="shared" si="6"/>
        <v>89.53 </v>
      </c>
      <c r="L74">
        <f t="shared" si="9"/>
        <v>746.42</v>
      </c>
      <c r="M74" t="str">
        <f t="shared" si="7"/>
        <v> T L</v>
      </c>
    </row>
    <row r="75" spans="1:13" ht="15">
      <c r="A75" t="s">
        <v>1514</v>
      </c>
      <c r="B75" t="s">
        <v>2380</v>
      </c>
      <c r="C75" t="s">
        <v>1515</v>
      </c>
      <c r="D75" t="s">
        <v>3572</v>
      </c>
      <c r="E75" t="s">
        <v>2923</v>
      </c>
      <c r="F75" t="s">
        <v>413</v>
      </c>
      <c r="G75" t="s">
        <v>1516</v>
      </c>
      <c r="H75" t="s">
        <v>1517</v>
      </c>
      <c r="I75" t="str">
        <f t="shared" si="5"/>
        <v>90.23 mi</v>
      </c>
      <c r="J75">
        <f t="shared" si="8"/>
        <v>7</v>
      </c>
      <c r="K75" t="str">
        <f t="shared" si="6"/>
        <v>90.23 </v>
      </c>
      <c r="L75">
        <f t="shared" si="9"/>
        <v>747.12</v>
      </c>
      <c r="M75" t="str">
        <f t="shared" si="7"/>
        <v> BR</v>
      </c>
    </row>
    <row r="76" spans="1:13" ht="15">
      <c r="A76" t="s">
        <v>1518</v>
      </c>
      <c r="B76" t="s">
        <v>1641</v>
      </c>
      <c r="C76" t="s">
        <v>1519</v>
      </c>
      <c r="D76" t="s">
        <v>1520</v>
      </c>
      <c r="E76" t="s">
        <v>2924</v>
      </c>
      <c r="F76" t="s">
        <v>1521</v>
      </c>
      <c r="G76" t="s">
        <v>1522</v>
      </c>
      <c r="H76" t="s">
        <v>1523</v>
      </c>
      <c r="I76" t="str">
        <f t="shared" si="5"/>
        <v>90.39 mi</v>
      </c>
      <c r="J76">
        <f t="shared" si="8"/>
        <v>7</v>
      </c>
      <c r="K76" t="str">
        <f t="shared" si="6"/>
        <v>90.39 </v>
      </c>
      <c r="L76">
        <f t="shared" si="9"/>
        <v>747.28</v>
      </c>
      <c r="M76" t="str">
        <f t="shared" si="7"/>
        <v> R</v>
      </c>
    </row>
    <row r="77" spans="1:13" ht="15">
      <c r="A77" t="s">
        <v>1524</v>
      </c>
      <c r="B77" t="s">
        <v>256</v>
      </c>
      <c r="C77" t="s">
        <v>1525</v>
      </c>
      <c r="D77" t="s">
        <v>2488</v>
      </c>
      <c r="E77" t="s">
        <v>2925</v>
      </c>
      <c r="F77" t="s">
        <v>1526</v>
      </c>
      <c r="G77" t="s">
        <v>1527</v>
      </c>
      <c r="H77" t="s">
        <v>1528</v>
      </c>
      <c r="I77" t="str">
        <f t="shared" si="5"/>
        <v>93.12 mi</v>
      </c>
      <c r="J77">
        <f t="shared" si="8"/>
        <v>7</v>
      </c>
      <c r="K77" t="str">
        <f t="shared" si="6"/>
        <v>93.12 </v>
      </c>
      <c r="L77">
        <f t="shared" si="9"/>
        <v>750.01</v>
      </c>
      <c r="M77" t="str">
        <f t="shared" si="7"/>
        <v> TL + QR</v>
      </c>
    </row>
    <row r="78" spans="1:13" ht="15">
      <c r="A78" t="s">
        <v>1529</v>
      </c>
      <c r="B78" t="s">
        <v>1336</v>
      </c>
      <c r="C78" t="s">
        <v>1530</v>
      </c>
      <c r="D78" t="s">
        <v>3171</v>
      </c>
      <c r="E78" t="s">
        <v>2926</v>
      </c>
      <c r="F78" t="s">
        <v>1531</v>
      </c>
      <c r="G78" t="s">
        <v>381</v>
      </c>
      <c r="H78" t="s">
        <v>1532</v>
      </c>
      <c r="I78" t="str">
        <f t="shared" si="5"/>
        <v>93.22 mi</v>
      </c>
      <c r="J78">
        <f t="shared" si="8"/>
        <v>7</v>
      </c>
      <c r="K78" t="str">
        <f t="shared" si="6"/>
        <v>93.22 </v>
      </c>
      <c r="L78">
        <f t="shared" si="9"/>
        <v>750.11</v>
      </c>
      <c r="M78" t="str">
        <f t="shared" si="7"/>
        <v> QR</v>
      </c>
    </row>
    <row r="79" spans="1:13" ht="15">
      <c r="A79" t="s">
        <v>1533</v>
      </c>
      <c r="B79" t="s">
        <v>252</v>
      </c>
      <c r="C79" t="s">
        <v>1534</v>
      </c>
      <c r="D79" t="s">
        <v>12</v>
      </c>
      <c r="E79" t="s">
        <v>2927</v>
      </c>
      <c r="F79" t="s">
        <v>1535</v>
      </c>
      <c r="G79" t="s">
        <v>1536</v>
      </c>
      <c r="H79" t="s">
        <v>1537</v>
      </c>
      <c r="I79" t="str">
        <f t="shared" si="5"/>
        <v>95.73 mi</v>
      </c>
      <c r="J79">
        <f t="shared" si="8"/>
        <v>7</v>
      </c>
      <c r="K79" t="str">
        <f t="shared" si="6"/>
        <v>95.73 </v>
      </c>
      <c r="L79">
        <f t="shared" si="9"/>
        <v>752.62</v>
      </c>
      <c r="M79" t="str">
        <f t="shared" si="7"/>
        <v> ***L</v>
      </c>
    </row>
    <row r="80" spans="1:13" ht="15">
      <c r="A80" t="s">
        <v>1538</v>
      </c>
      <c r="B80" t="s">
        <v>1647</v>
      </c>
      <c r="C80" t="s">
        <v>1539</v>
      </c>
      <c r="D80" t="s">
        <v>1540</v>
      </c>
      <c r="E80" t="s">
        <v>2928</v>
      </c>
      <c r="F80" t="s">
        <v>1541</v>
      </c>
      <c r="G80" t="s">
        <v>1542</v>
      </c>
      <c r="H80" t="s">
        <v>1543</v>
      </c>
      <c r="I80" t="str">
        <f t="shared" si="5"/>
        <v>95.97 mi</v>
      </c>
      <c r="J80">
        <f t="shared" si="8"/>
        <v>7</v>
      </c>
      <c r="K80" t="str">
        <f t="shared" si="6"/>
        <v>95.97 </v>
      </c>
      <c r="L80">
        <f t="shared" si="9"/>
        <v>752.86</v>
      </c>
      <c r="M80" t="str">
        <f t="shared" si="7"/>
        <v> T L</v>
      </c>
    </row>
    <row r="81" spans="1:13" ht="15">
      <c r="A81" t="s">
        <v>1544</v>
      </c>
      <c r="B81" t="s">
        <v>3144</v>
      </c>
      <c r="C81" t="s">
        <v>1545</v>
      </c>
      <c r="D81" t="s">
        <v>1240</v>
      </c>
      <c r="E81" t="s">
        <v>2929</v>
      </c>
      <c r="F81" t="s">
        <v>1546</v>
      </c>
      <c r="G81" t="s">
        <v>3092</v>
      </c>
      <c r="H81" t="s">
        <v>1547</v>
      </c>
      <c r="I81" t="str">
        <f t="shared" si="5"/>
        <v>98.17 mi</v>
      </c>
      <c r="J81">
        <f t="shared" si="8"/>
        <v>7</v>
      </c>
      <c r="K81" t="str">
        <f t="shared" si="6"/>
        <v>98.17 </v>
      </c>
      <c r="L81">
        <f t="shared" si="9"/>
        <v>755.06</v>
      </c>
      <c r="M81" t="str">
        <f t="shared" si="7"/>
        <v> ***R</v>
      </c>
    </row>
    <row r="82" spans="1:13" ht="15">
      <c r="A82" t="s">
        <v>1548</v>
      </c>
      <c r="B82" t="s">
        <v>1648</v>
      </c>
      <c r="C82" t="s">
        <v>1549</v>
      </c>
      <c r="D82" t="s">
        <v>2478</v>
      </c>
      <c r="E82" t="s">
        <v>2930</v>
      </c>
      <c r="F82" t="s">
        <v>1550</v>
      </c>
      <c r="G82" t="s">
        <v>1551</v>
      </c>
      <c r="H82" t="s">
        <v>1552</v>
      </c>
      <c r="I82" t="str">
        <f t="shared" si="5"/>
        <v>98.42 mi</v>
      </c>
      <c r="J82">
        <f t="shared" si="8"/>
        <v>7</v>
      </c>
      <c r="K82" t="str">
        <f t="shared" si="6"/>
        <v>98.42 </v>
      </c>
      <c r="L82">
        <f t="shared" si="9"/>
        <v>755.31</v>
      </c>
      <c r="M82" t="str">
        <f t="shared" si="7"/>
        <v> T R</v>
      </c>
    </row>
    <row r="83" spans="1:13" ht="15">
      <c r="A83" t="s">
        <v>1553</v>
      </c>
      <c r="B83" t="s">
        <v>953</v>
      </c>
      <c r="C83" t="s">
        <v>1554</v>
      </c>
      <c r="D83" t="s">
        <v>1555</v>
      </c>
      <c r="E83" t="s">
        <v>2931</v>
      </c>
      <c r="F83" t="s">
        <v>1556</v>
      </c>
      <c r="G83" t="s">
        <v>1557</v>
      </c>
      <c r="H83" t="s">
        <v>1558</v>
      </c>
      <c r="I83" t="str">
        <f t="shared" si="5"/>
        <v>98.46 mi</v>
      </c>
      <c r="J83">
        <f t="shared" si="8"/>
        <v>7</v>
      </c>
      <c r="K83" t="str">
        <f t="shared" si="6"/>
        <v>98.46 </v>
      </c>
      <c r="L83">
        <f t="shared" si="9"/>
        <v>755.35</v>
      </c>
      <c r="M83" t="str">
        <f t="shared" si="7"/>
        <v> QL</v>
      </c>
    </row>
    <row r="84" spans="1:13" ht="15">
      <c r="A84" t="s">
        <v>1559</v>
      </c>
      <c r="B84" t="s">
        <v>1644</v>
      </c>
      <c r="C84" t="s">
        <v>1560</v>
      </c>
      <c r="D84" t="s">
        <v>1561</v>
      </c>
      <c r="E84" t="s">
        <v>2932</v>
      </c>
      <c r="F84" t="s">
        <v>1562</v>
      </c>
      <c r="G84" t="s">
        <v>1563</v>
      </c>
      <c r="H84" t="s">
        <v>1564</v>
      </c>
      <c r="I84" t="str">
        <f t="shared" si="5"/>
        <v>101.08 mi</v>
      </c>
      <c r="J84">
        <f t="shared" si="8"/>
        <v>8</v>
      </c>
      <c r="K84" t="str">
        <f t="shared" si="6"/>
        <v>101.08 </v>
      </c>
      <c r="L84">
        <f t="shared" si="9"/>
        <v>757.97</v>
      </c>
      <c r="M84" t="str">
        <f t="shared" si="7"/>
        <v> L</v>
      </c>
    </row>
    <row r="85" spans="1:13" ht="15">
      <c r="A85" t="s">
        <v>1565</v>
      </c>
      <c r="B85" t="s">
        <v>1644</v>
      </c>
      <c r="C85" t="s">
        <v>1566</v>
      </c>
      <c r="D85" t="s">
        <v>1567</v>
      </c>
      <c r="E85" t="s">
        <v>2933</v>
      </c>
      <c r="F85" t="s">
        <v>1568</v>
      </c>
      <c r="G85" t="s">
        <v>1569</v>
      </c>
      <c r="H85" t="s">
        <v>1570</v>
      </c>
      <c r="I85" t="str">
        <f>TRIM(E85)</f>
        <v>102.75 mi</v>
      </c>
      <c r="J85">
        <f t="shared" si="8"/>
        <v>8</v>
      </c>
      <c r="K85" t="str">
        <f>LEFT(I85,J85-1)</f>
        <v>102.75 </v>
      </c>
      <c r="L85">
        <f t="shared" si="9"/>
        <v>759.64</v>
      </c>
      <c r="M85" t="str">
        <f>IF(B85&lt;&gt;" ???",B85,$M$1)</f>
        <v> L</v>
      </c>
    </row>
    <row r="86" spans="1:13" ht="15">
      <c r="A86" t="s">
        <v>1571</v>
      </c>
      <c r="B86" t="s">
        <v>1646</v>
      </c>
      <c r="C86" t="s">
        <v>1572</v>
      </c>
      <c r="D86" t="s">
        <v>1573</v>
      </c>
      <c r="E86" t="s">
        <v>2934</v>
      </c>
      <c r="F86" t="s">
        <v>3309</v>
      </c>
      <c r="G86" t="s">
        <v>1574</v>
      </c>
      <c r="H86" t="s">
        <v>1575</v>
      </c>
      <c r="I86" t="str">
        <f>TRIM(E86)</f>
        <v>106.20 mi</v>
      </c>
      <c r="J86">
        <f t="shared" si="8"/>
        <v>8</v>
      </c>
      <c r="K86" t="str">
        <f>LEFT(I86,J86-1)</f>
        <v>106.20 </v>
      </c>
      <c r="L86">
        <f t="shared" si="9"/>
        <v>763.09</v>
      </c>
      <c r="M86" t="str">
        <f>IF(B86&lt;&gt;" ???",B86,$M$1)</f>
        <v> X</v>
      </c>
    </row>
    <row r="87" spans="1:13" ht="15">
      <c r="A87" t="s">
        <v>1576</v>
      </c>
      <c r="B87" t="s">
        <v>1646</v>
      </c>
      <c r="C87" t="s">
        <v>1577</v>
      </c>
      <c r="D87" t="s">
        <v>2476</v>
      </c>
      <c r="E87" t="s">
        <v>2935</v>
      </c>
      <c r="F87" t="s">
        <v>1578</v>
      </c>
      <c r="G87" t="s">
        <v>1579</v>
      </c>
      <c r="H87" t="s">
        <v>1580</v>
      </c>
      <c r="I87" t="str">
        <f>TRIM(E87)</f>
        <v>110.96 mi</v>
      </c>
      <c r="J87">
        <f t="shared" si="8"/>
        <v>8</v>
      </c>
      <c r="K87" t="str">
        <f>LEFT(I87,J87-1)</f>
        <v>110.96 </v>
      </c>
      <c r="L87">
        <f t="shared" si="9"/>
        <v>767.85</v>
      </c>
      <c r="M87" t="str">
        <f>IF(B87&lt;&gt;" ???",B87,$M$1)</f>
        <v> X</v>
      </c>
    </row>
    <row r="88" spans="1:13" ht="15">
      <c r="A88" t="s">
        <v>1581</v>
      </c>
      <c r="B88" t="s">
        <v>1582</v>
      </c>
      <c r="C88" t="s">
        <v>836</v>
      </c>
      <c r="D88" t="s">
        <v>1622</v>
      </c>
      <c r="E88" t="s">
        <v>2936</v>
      </c>
      <c r="F88" t="s">
        <v>1583</v>
      </c>
      <c r="G88" t="s">
        <v>1102</v>
      </c>
      <c r="H88" t="s">
        <v>3001</v>
      </c>
      <c r="I88" t="str">
        <f>TRIM(E88)</f>
        <v>111.31 mi</v>
      </c>
      <c r="J88">
        <f t="shared" si="8"/>
        <v>8</v>
      </c>
      <c r="K88" t="str">
        <f>LEFT(I88,J88-1)</f>
        <v>111.31 </v>
      </c>
      <c r="L88">
        <f t="shared" si="9"/>
        <v>768.2</v>
      </c>
      <c r="M88" t="str">
        <f>IF(B88&lt;&gt;" ???",B88,$M$1)</f>
        <v> FINISH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A37" sqref="A37"/>
    </sheetView>
  </sheetViews>
  <sheetFormatPr defaultColWidth="8.88671875" defaultRowHeight="15"/>
  <cols>
    <col min="1" max="1" width="28.6640625" style="0" customWidth="1"/>
    <col min="2" max="2" width="9.88671875" style="0" customWidth="1"/>
    <col min="3" max="9" width="8.6640625" style="0" customWidth="1"/>
    <col min="10" max="10" width="4.10546875" style="0" customWidth="1"/>
    <col min="11" max="16384" width="8.6640625" style="0" customWidth="1"/>
  </cols>
  <sheetData>
    <row r="1" spans="1:14" ht="15">
      <c r="A1" t="s">
        <v>1633</v>
      </c>
      <c r="B1" t="s">
        <v>1634</v>
      </c>
      <c r="C1" t="s">
        <v>1635</v>
      </c>
      <c r="D1" t="s">
        <v>1636</v>
      </c>
      <c r="E1" t="s">
        <v>1637</v>
      </c>
      <c r="F1" t="s">
        <v>1638</v>
      </c>
      <c r="G1" t="s">
        <v>1639</v>
      </c>
      <c r="H1" t="s">
        <v>1640</v>
      </c>
      <c r="K1">
        <f>INDIRECT("L"&amp;COUNTA(K2:K100)+1)</f>
        <v>860.4300000000001</v>
      </c>
      <c r="L1">
        <f>Seg6!K1</f>
        <v>768.2</v>
      </c>
      <c r="M1" t="s">
        <v>2470</v>
      </c>
      <c r="N1" t="s">
        <v>261</v>
      </c>
    </row>
    <row r="2" spans="1:13" ht="15">
      <c r="A2" t="s">
        <v>262</v>
      </c>
      <c r="B2" t="s">
        <v>2494</v>
      </c>
      <c r="C2" t="s">
        <v>263</v>
      </c>
      <c r="D2" t="s">
        <v>2472</v>
      </c>
      <c r="E2" t="s">
        <v>1642</v>
      </c>
      <c r="F2" t="s">
        <v>264</v>
      </c>
      <c r="G2" t="s">
        <v>265</v>
      </c>
      <c r="H2" t="s">
        <v>266</v>
      </c>
      <c r="I2" t="str">
        <f aca="true" t="shared" si="0" ref="I2:I23">TRIM(E2)</f>
        <v>0.00 mi</v>
      </c>
      <c r="J2">
        <f aca="true" t="shared" si="1" ref="J2:J65">FIND("mi",I2)</f>
        <v>6</v>
      </c>
      <c r="K2" t="str">
        <f aca="true" t="shared" si="2" ref="K2:K23">LEFT(I2,J2-1)</f>
        <v>0.00 </v>
      </c>
      <c r="L2">
        <f aca="true" t="shared" si="3" ref="L2:L65">$L$1+K2</f>
        <v>768.2</v>
      </c>
      <c r="M2" t="str">
        <f aca="true" t="shared" si="4" ref="M2:M23">IF(B2&lt;&gt;" ???",B2,$M$1)</f>
        <v> START</v>
      </c>
    </row>
    <row r="3" spans="1:13" ht="15">
      <c r="A3" t="s">
        <v>267</v>
      </c>
      <c r="B3" t="s">
        <v>1623</v>
      </c>
      <c r="C3" t="s">
        <v>3436</v>
      </c>
      <c r="D3" t="s">
        <v>268</v>
      </c>
      <c r="E3" t="s">
        <v>2472</v>
      </c>
      <c r="F3" t="s">
        <v>269</v>
      </c>
      <c r="G3" t="s">
        <v>259</v>
      </c>
      <c r="H3" t="s">
        <v>270</v>
      </c>
      <c r="I3" t="str">
        <f t="shared" si="0"/>
        <v>0.06 mi</v>
      </c>
      <c r="J3">
        <f t="shared" si="1"/>
        <v>6</v>
      </c>
      <c r="K3" t="str">
        <f t="shared" si="2"/>
        <v>0.06 </v>
      </c>
      <c r="L3">
        <f t="shared" si="3"/>
        <v>768.26</v>
      </c>
      <c r="M3" t="str">
        <f t="shared" si="4"/>
        <v> Continue</v>
      </c>
    </row>
    <row r="4" spans="1:13" ht="15">
      <c r="A4" t="s">
        <v>3437</v>
      </c>
      <c r="B4" t="s">
        <v>1621</v>
      </c>
      <c r="C4" t="s">
        <v>272</v>
      </c>
      <c r="D4" t="s">
        <v>1114</v>
      </c>
      <c r="E4" t="s">
        <v>271</v>
      </c>
      <c r="F4" t="s">
        <v>1115</v>
      </c>
      <c r="G4" t="s">
        <v>3438</v>
      </c>
      <c r="H4" t="s">
        <v>3439</v>
      </c>
      <c r="I4" t="str">
        <f t="shared" si="0"/>
        <v>8.29 mi</v>
      </c>
      <c r="J4">
        <f t="shared" si="1"/>
        <v>6</v>
      </c>
      <c r="K4" t="str">
        <f t="shared" si="2"/>
        <v>8.29 </v>
      </c>
      <c r="L4">
        <f t="shared" si="3"/>
        <v>776.49</v>
      </c>
      <c r="M4" t="str">
        <f t="shared" si="4"/>
        <v> B L</v>
      </c>
    </row>
    <row r="5" spans="1:13" ht="15">
      <c r="A5" t="s">
        <v>273</v>
      </c>
      <c r="B5" t="s">
        <v>1644</v>
      </c>
      <c r="C5" t="s">
        <v>3440</v>
      </c>
      <c r="D5" t="s">
        <v>2476</v>
      </c>
      <c r="E5" t="s">
        <v>274</v>
      </c>
      <c r="F5" t="s">
        <v>3441</v>
      </c>
      <c r="G5" t="s">
        <v>3442</v>
      </c>
      <c r="H5" t="s">
        <v>11</v>
      </c>
      <c r="I5" t="str">
        <f t="shared" si="0"/>
        <v>11.93 mi</v>
      </c>
      <c r="J5">
        <f t="shared" si="1"/>
        <v>7</v>
      </c>
      <c r="K5" t="str">
        <f t="shared" si="2"/>
        <v>11.93 </v>
      </c>
      <c r="L5">
        <f t="shared" si="3"/>
        <v>780.13</v>
      </c>
      <c r="M5" t="str">
        <f t="shared" si="4"/>
        <v> L</v>
      </c>
    </row>
    <row r="6" spans="1:13" ht="15">
      <c r="A6" t="s">
        <v>3443</v>
      </c>
      <c r="B6" t="s">
        <v>1650</v>
      </c>
      <c r="C6" t="s">
        <v>3444</v>
      </c>
      <c r="D6" t="s">
        <v>3445</v>
      </c>
      <c r="E6" t="s">
        <v>275</v>
      </c>
      <c r="F6" t="s">
        <v>3446</v>
      </c>
      <c r="G6" t="s">
        <v>3447</v>
      </c>
      <c r="H6" t="s">
        <v>3448</v>
      </c>
      <c r="I6" t="str">
        <f t="shared" si="0"/>
        <v>12.28 mi</v>
      </c>
      <c r="J6">
        <f t="shared" si="1"/>
        <v>7</v>
      </c>
      <c r="K6" t="str">
        <f t="shared" si="2"/>
        <v>12.28 </v>
      </c>
      <c r="L6">
        <f t="shared" si="3"/>
        <v>780.48</v>
      </c>
      <c r="M6" t="str">
        <f t="shared" si="4"/>
        <v> Pass</v>
      </c>
    </row>
    <row r="7" spans="1:13" ht="15">
      <c r="A7" t="s">
        <v>3449</v>
      </c>
      <c r="B7" t="s">
        <v>1631</v>
      </c>
      <c r="C7" t="s">
        <v>3450</v>
      </c>
      <c r="D7" t="s">
        <v>2495</v>
      </c>
      <c r="E7" t="s">
        <v>1116</v>
      </c>
      <c r="F7" t="s">
        <v>3451</v>
      </c>
      <c r="G7" t="s">
        <v>3452</v>
      </c>
      <c r="H7" t="s">
        <v>3453</v>
      </c>
      <c r="I7" t="str">
        <f t="shared" si="0"/>
        <v>16.44 mi</v>
      </c>
      <c r="J7">
        <f t="shared" si="1"/>
        <v>7</v>
      </c>
      <c r="K7" t="str">
        <f t="shared" si="2"/>
        <v>16.44 </v>
      </c>
      <c r="L7">
        <f t="shared" si="3"/>
        <v>784.6400000000001</v>
      </c>
      <c r="M7" t="str">
        <f t="shared" si="4"/>
        <v> Straight</v>
      </c>
    </row>
    <row r="8" spans="1:13" ht="15">
      <c r="A8" t="s">
        <v>3454</v>
      </c>
      <c r="B8" t="s">
        <v>1646</v>
      </c>
      <c r="C8" t="s">
        <v>3455</v>
      </c>
      <c r="D8" t="s">
        <v>1653</v>
      </c>
      <c r="E8" t="s">
        <v>276</v>
      </c>
      <c r="F8" t="s">
        <v>3456</v>
      </c>
      <c r="G8" t="s">
        <v>3457</v>
      </c>
      <c r="H8" t="s">
        <v>3458</v>
      </c>
      <c r="I8" t="str">
        <f t="shared" si="0"/>
        <v>17.02 mi</v>
      </c>
      <c r="J8">
        <f t="shared" si="1"/>
        <v>7</v>
      </c>
      <c r="K8" t="str">
        <f t="shared" si="2"/>
        <v>17.02 </v>
      </c>
      <c r="L8">
        <f t="shared" si="3"/>
        <v>785.22</v>
      </c>
      <c r="M8" t="str">
        <f t="shared" si="4"/>
        <v> X</v>
      </c>
    </row>
    <row r="9" spans="1:13" ht="15">
      <c r="A9" t="s">
        <v>3459</v>
      </c>
      <c r="B9" t="s">
        <v>1645</v>
      </c>
      <c r="C9" t="s">
        <v>3460</v>
      </c>
      <c r="D9" t="s">
        <v>3532</v>
      </c>
      <c r="E9" t="s">
        <v>277</v>
      </c>
      <c r="F9" t="s">
        <v>3461</v>
      </c>
      <c r="G9" t="s">
        <v>3462</v>
      </c>
      <c r="H9" t="s">
        <v>3463</v>
      </c>
      <c r="I9" t="str">
        <f t="shared" si="0"/>
        <v>17.19 mi</v>
      </c>
      <c r="J9">
        <f t="shared" si="1"/>
        <v>7</v>
      </c>
      <c r="K9" t="str">
        <f t="shared" si="2"/>
        <v>17.19 </v>
      </c>
      <c r="L9">
        <f t="shared" si="3"/>
        <v>785.3900000000001</v>
      </c>
      <c r="M9" t="str">
        <f t="shared" si="4"/>
        <v> B R</v>
      </c>
    </row>
    <row r="10" spans="1:13" ht="15">
      <c r="A10" t="s">
        <v>3464</v>
      </c>
      <c r="B10" t="s">
        <v>1647</v>
      </c>
      <c r="C10" t="s">
        <v>3465</v>
      </c>
      <c r="D10" t="s">
        <v>2480</v>
      </c>
      <c r="E10" t="s">
        <v>1117</v>
      </c>
      <c r="F10" t="s">
        <v>3466</v>
      </c>
      <c r="G10" t="s">
        <v>3467</v>
      </c>
      <c r="H10" t="s">
        <v>3435</v>
      </c>
      <c r="I10" t="str">
        <f t="shared" si="0"/>
        <v>18.29 mi</v>
      </c>
      <c r="J10">
        <f t="shared" si="1"/>
        <v>7</v>
      </c>
      <c r="K10" t="str">
        <f t="shared" si="2"/>
        <v>18.29 </v>
      </c>
      <c r="L10">
        <f t="shared" si="3"/>
        <v>786.49</v>
      </c>
      <c r="M10" t="str">
        <f t="shared" si="4"/>
        <v> T L</v>
      </c>
    </row>
    <row r="11" spans="1:13" ht="15">
      <c r="A11" t="s">
        <v>3468</v>
      </c>
      <c r="B11" t="s">
        <v>1651</v>
      </c>
      <c r="C11" t="s">
        <v>3469</v>
      </c>
      <c r="D11" t="s">
        <v>3470</v>
      </c>
      <c r="E11" t="s">
        <v>278</v>
      </c>
      <c r="F11" t="s">
        <v>3471</v>
      </c>
      <c r="G11" t="s">
        <v>3472</v>
      </c>
      <c r="H11" t="s">
        <v>3473</v>
      </c>
      <c r="I11" t="str">
        <f t="shared" si="0"/>
        <v>18.50 mi</v>
      </c>
      <c r="J11">
        <f t="shared" si="1"/>
        <v>7</v>
      </c>
      <c r="K11" t="str">
        <f t="shared" si="2"/>
        <v>18.50 </v>
      </c>
      <c r="L11">
        <f t="shared" si="3"/>
        <v>786.7</v>
      </c>
      <c r="M11" t="str">
        <f t="shared" si="4"/>
        <v> 1st R</v>
      </c>
    </row>
    <row r="12" spans="1:13" ht="15">
      <c r="A12" t="s">
        <v>3474</v>
      </c>
      <c r="B12" t="s">
        <v>1643</v>
      </c>
      <c r="C12" t="s">
        <v>3475</v>
      </c>
      <c r="D12" t="s">
        <v>3476</v>
      </c>
      <c r="E12" t="s">
        <v>1118</v>
      </c>
      <c r="F12" t="s">
        <v>3477</v>
      </c>
      <c r="G12" t="s">
        <v>3478</v>
      </c>
      <c r="H12" t="s">
        <v>3479</v>
      </c>
      <c r="I12" t="str">
        <f t="shared" si="0"/>
        <v>18.93 mi</v>
      </c>
      <c r="J12">
        <f t="shared" si="1"/>
        <v>7</v>
      </c>
      <c r="K12" t="str">
        <f t="shared" si="2"/>
        <v>18.93 </v>
      </c>
      <c r="L12">
        <f t="shared" si="3"/>
        <v>787.13</v>
      </c>
      <c r="M12" t="str">
        <f t="shared" si="4"/>
        <v> 1st L</v>
      </c>
    </row>
    <row r="13" spans="1:13" ht="15">
      <c r="A13" t="s">
        <v>3480</v>
      </c>
      <c r="B13" t="s">
        <v>3481</v>
      </c>
      <c r="C13" t="s">
        <v>3482</v>
      </c>
      <c r="D13" t="s">
        <v>2500</v>
      </c>
      <c r="E13" t="s">
        <v>279</v>
      </c>
      <c r="F13" t="s">
        <v>3483</v>
      </c>
      <c r="G13" t="s">
        <v>3484</v>
      </c>
      <c r="H13" t="s">
        <v>3485</v>
      </c>
      <c r="I13" t="str">
        <f t="shared" si="0"/>
        <v>20.91 mi</v>
      </c>
      <c r="J13">
        <f t="shared" si="1"/>
        <v>7</v>
      </c>
      <c r="K13" t="str">
        <f t="shared" si="2"/>
        <v>20.91 </v>
      </c>
      <c r="L13">
        <f t="shared" si="3"/>
        <v>789.11</v>
      </c>
      <c r="M13" t="str">
        <f t="shared" si="4"/>
        <v> BR + QBL</v>
      </c>
    </row>
    <row r="14" spans="1:13" ht="15">
      <c r="A14" t="s">
        <v>3486</v>
      </c>
      <c r="B14" t="s">
        <v>1647</v>
      </c>
      <c r="C14" t="s">
        <v>3487</v>
      </c>
      <c r="D14" t="s">
        <v>2501</v>
      </c>
      <c r="E14" t="s">
        <v>280</v>
      </c>
      <c r="F14" t="s">
        <v>3488</v>
      </c>
      <c r="G14" t="s">
        <v>3489</v>
      </c>
      <c r="H14" t="s">
        <v>3490</v>
      </c>
      <c r="I14" t="str">
        <f t="shared" si="0"/>
        <v>24.25 mi</v>
      </c>
      <c r="J14">
        <f t="shared" si="1"/>
        <v>7</v>
      </c>
      <c r="K14" t="str">
        <f t="shared" si="2"/>
        <v>24.25 </v>
      </c>
      <c r="L14">
        <f t="shared" si="3"/>
        <v>792.45</v>
      </c>
      <c r="M14" t="str">
        <f t="shared" si="4"/>
        <v> T L</v>
      </c>
    </row>
    <row r="15" spans="1:13" ht="15">
      <c r="A15" t="s">
        <v>3491</v>
      </c>
      <c r="B15" t="s">
        <v>1646</v>
      </c>
      <c r="C15" t="s">
        <v>3492</v>
      </c>
      <c r="D15" t="s">
        <v>3493</v>
      </c>
      <c r="E15" t="s">
        <v>281</v>
      </c>
      <c r="F15" t="s">
        <v>3494</v>
      </c>
      <c r="G15" t="s">
        <v>3495</v>
      </c>
      <c r="H15" t="s">
        <v>3496</v>
      </c>
      <c r="I15" t="str">
        <f t="shared" si="0"/>
        <v>24.63 mi</v>
      </c>
      <c r="J15">
        <f t="shared" si="1"/>
        <v>7</v>
      </c>
      <c r="K15" t="str">
        <f t="shared" si="2"/>
        <v>24.63 </v>
      </c>
      <c r="L15">
        <f t="shared" si="3"/>
        <v>792.83</v>
      </c>
      <c r="M15" t="str">
        <f t="shared" si="4"/>
        <v> X</v>
      </c>
    </row>
    <row r="16" spans="1:13" ht="15">
      <c r="A16" t="s">
        <v>3503</v>
      </c>
      <c r="B16" t="s">
        <v>1621</v>
      </c>
      <c r="C16" t="s">
        <v>3497</v>
      </c>
      <c r="D16" t="s">
        <v>2481</v>
      </c>
      <c r="E16" t="s">
        <v>282</v>
      </c>
      <c r="F16" t="s">
        <v>3498</v>
      </c>
      <c r="G16" t="s">
        <v>3499</v>
      </c>
      <c r="H16" t="s">
        <v>3500</v>
      </c>
      <c r="I16" t="str">
        <f t="shared" si="0"/>
        <v>26.90 mi</v>
      </c>
      <c r="J16">
        <f t="shared" si="1"/>
        <v>7</v>
      </c>
      <c r="K16" t="str">
        <f t="shared" si="2"/>
        <v>26.90 </v>
      </c>
      <c r="L16">
        <f t="shared" si="3"/>
        <v>795.1</v>
      </c>
      <c r="M16" t="str">
        <f t="shared" si="4"/>
        <v> B L</v>
      </c>
    </row>
    <row r="17" spans="1:13" ht="15">
      <c r="A17" t="s">
        <v>1793</v>
      </c>
      <c r="B17" t="s">
        <v>1641</v>
      </c>
      <c r="C17" t="s">
        <v>1794</v>
      </c>
      <c r="D17" t="s">
        <v>1795</v>
      </c>
      <c r="E17" t="s">
        <v>283</v>
      </c>
      <c r="F17" t="s">
        <v>1796</v>
      </c>
      <c r="G17" t="s">
        <v>1797</v>
      </c>
      <c r="H17" t="s">
        <v>1798</v>
      </c>
      <c r="I17" t="str">
        <f t="shared" si="0"/>
        <v>27.24 mi</v>
      </c>
      <c r="J17">
        <f t="shared" si="1"/>
        <v>7</v>
      </c>
      <c r="K17" t="str">
        <f t="shared" si="2"/>
        <v>27.24 </v>
      </c>
      <c r="L17">
        <f t="shared" si="3"/>
        <v>795.44</v>
      </c>
      <c r="M17" t="str">
        <f t="shared" si="4"/>
        <v> R</v>
      </c>
    </row>
    <row r="18" spans="1:13" ht="15">
      <c r="A18" t="s">
        <v>1799</v>
      </c>
      <c r="B18" t="s">
        <v>1646</v>
      </c>
      <c r="C18" t="s">
        <v>1800</v>
      </c>
      <c r="D18" t="s">
        <v>2134</v>
      </c>
      <c r="E18" t="s">
        <v>1119</v>
      </c>
      <c r="F18" t="s">
        <v>1801</v>
      </c>
      <c r="G18" t="s">
        <v>1802</v>
      </c>
      <c r="H18" t="s">
        <v>1803</v>
      </c>
      <c r="I18" t="str">
        <f t="shared" si="0"/>
        <v>27.77 mi</v>
      </c>
      <c r="J18">
        <f t="shared" si="1"/>
        <v>7</v>
      </c>
      <c r="K18" t="str">
        <f t="shared" si="2"/>
        <v>27.77 </v>
      </c>
      <c r="L18">
        <f t="shared" si="3"/>
        <v>795.97</v>
      </c>
      <c r="M18" t="str">
        <f t="shared" si="4"/>
        <v> X</v>
      </c>
    </row>
    <row r="19" spans="1:13" ht="15">
      <c r="A19" t="s">
        <v>1804</v>
      </c>
      <c r="B19" t="s">
        <v>1631</v>
      </c>
      <c r="C19" t="s">
        <v>1805</v>
      </c>
      <c r="D19" t="s">
        <v>2502</v>
      </c>
      <c r="E19" t="s">
        <v>1120</v>
      </c>
      <c r="F19" t="s">
        <v>1806</v>
      </c>
      <c r="G19" t="s">
        <v>1807</v>
      </c>
      <c r="H19" t="s">
        <v>1808</v>
      </c>
      <c r="I19" t="str">
        <f t="shared" si="0"/>
        <v>29.55 mi</v>
      </c>
      <c r="J19">
        <f t="shared" si="1"/>
        <v>7</v>
      </c>
      <c r="K19" t="str">
        <f t="shared" si="2"/>
        <v>29.55 </v>
      </c>
      <c r="L19">
        <f t="shared" si="3"/>
        <v>797.75</v>
      </c>
      <c r="M19" t="str">
        <f t="shared" si="4"/>
        <v> Straight</v>
      </c>
    </row>
    <row r="20" spans="1:13" ht="15">
      <c r="A20" t="s">
        <v>1809</v>
      </c>
      <c r="B20" t="s">
        <v>1646</v>
      </c>
      <c r="C20" t="s">
        <v>1810</v>
      </c>
      <c r="D20" t="s">
        <v>1383</v>
      </c>
      <c r="E20" t="s">
        <v>1121</v>
      </c>
      <c r="F20" t="s">
        <v>1811</v>
      </c>
      <c r="G20" t="s">
        <v>1812</v>
      </c>
      <c r="H20" t="s">
        <v>1813</v>
      </c>
      <c r="I20" t="str">
        <f t="shared" si="0"/>
        <v>29.70 mi</v>
      </c>
      <c r="J20">
        <f t="shared" si="1"/>
        <v>7</v>
      </c>
      <c r="K20" t="str">
        <f t="shared" si="2"/>
        <v>29.70 </v>
      </c>
      <c r="L20">
        <f t="shared" si="3"/>
        <v>797.9000000000001</v>
      </c>
      <c r="M20" t="str">
        <f t="shared" si="4"/>
        <v> X</v>
      </c>
    </row>
    <row r="21" spans="1:13" ht="15">
      <c r="A21" t="s">
        <v>1814</v>
      </c>
      <c r="B21" t="s">
        <v>1648</v>
      </c>
      <c r="C21" t="s">
        <v>2172</v>
      </c>
      <c r="D21" t="s">
        <v>1604</v>
      </c>
      <c r="E21" t="s">
        <v>1122</v>
      </c>
      <c r="F21" t="s">
        <v>1815</v>
      </c>
      <c r="G21" t="s">
        <v>1816</v>
      </c>
      <c r="H21" t="s">
        <v>1817</v>
      </c>
      <c r="I21" t="str">
        <f t="shared" si="0"/>
        <v>30.18 mi</v>
      </c>
      <c r="J21">
        <f t="shared" si="1"/>
        <v>7</v>
      </c>
      <c r="K21" t="str">
        <f t="shared" si="2"/>
        <v>30.18 </v>
      </c>
      <c r="L21">
        <f t="shared" si="3"/>
        <v>798.38</v>
      </c>
      <c r="M21" t="str">
        <f t="shared" si="4"/>
        <v> T R</v>
      </c>
    </row>
    <row r="22" spans="1:13" ht="15">
      <c r="A22" t="s">
        <v>1222</v>
      </c>
      <c r="B22" t="s">
        <v>1644</v>
      </c>
      <c r="C22" t="s">
        <v>1818</v>
      </c>
      <c r="D22" t="s">
        <v>1382</v>
      </c>
      <c r="E22" t="s">
        <v>284</v>
      </c>
      <c r="F22" t="s">
        <v>1819</v>
      </c>
      <c r="G22" t="s">
        <v>1820</v>
      </c>
      <c r="H22" t="s">
        <v>1821</v>
      </c>
      <c r="I22" t="str">
        <f t="shared" si="0"/>
        <v>30.38 mi</v>
      </c>
      <c r="J22">
        <f t="shared" si="1"/>
        <v>7</v>
      </c>
      <c r="K22" t="str">
        <f t="shared" si="2"/>
        <v>30.38 </v>
      </c>
      <c r="L22">
        <f t="shared" si="3"/>
        <v>798.58</v>
      </c>
      <c r="M22" t="str">
        <f t="shared" si="4"/>
        <v> L</v>
      </c>
    </row>
    <row r="23" spans="1:13" ht="15">
      <c r="A23" t="s">
        <v>1822</v>
      </c>
      <c r="B23" t="s">
        <v>1166</v>
      </c>
      <c r="C23" t="s">
        <v>1823</v>
      </c>
      <c r="D23" t="s">
        <v>254</v>
      </c>
      <c r="E23" t="s">
        <v>285</v>
      </c>
      <c r="F23" t="s">
        <v>1824</v>
      </c>
      <c r="G23" t="s">
        <v>1825</v>
      </c>
      <c r="H23" t="s">
        <v>1826</v>
      </c>
      <c r="I23" t="str">
        <f t="shared" si="0"/>
        <v>30.60 mi</v>
      </c>
      <c r="J23">
        <f t="shared" si="1"/>
        <v>7</v>
      </c>
      <c r="K23" t="str">
        <f t="shared" si="2"/>
        <v>30.60 </v>
      </c>
      <c r="L23">
        <f t="shared" si="3"/>
        <v>798.8000000000001</v>
      </c>
      <c r="M23" t="str">
        <f t="shared" si="4"/>
        <v> 1st B L</v>
      </c>
    </row>
    <row r="24" spans="1:13" ht="15">
      <c r="A24" t="s">
        <v>1827</v>
      </c>
      <c r="B24" t="s">
        <v>1647</v>
      </c>
      <c r="C24" t="s">
        <v>1828</v>
      </c>
      <c r="D24" t="s">
        <v>2472</v>
      </c>
      <c r="E24" t="s">
        <v>286</v>
      </c>
      <c r="F24" t="s">
        <v>1829</v>
      </c>
      <c r="G24" t="s">
        <v>1830</v>
      </c>
      <c r="H24" t="s">
        <v>1831</v>
      </c>
      <c r="I24" t="str">
        <f aca="true" t="shared" si="5" ref="I24:I87">TRIM(E24)</f>
        <v>32.09 mi</v>
      </c>
      <c r="J24">
        <f t="shared" si="1"/>
        <v>7</v>
      </c>
      <c r="K24" t="str">
        <f aca="true" t="shared" si="6" ref="K24:K87">LEFT(I24,J24-1)</f>
        <v>32.09 </v>
      </c>
      <c r="L24">
        <f t="shared" si="3"/>
        <v>800.2900000000001</v>
      </c>
      <c r="M24" t="str">
        <f aca="true" t="shared" si="7" ref="M24:M87">IF(B24&lt;&gt;" ???",B24,$M$1)</f>
        <v> T L</v>
      </c>
    </row>
    <row r="25" spans="1:13" ht="15">
      <c r="A25" t="s">
        <v>1832</v>
      </c>
      <c r="B25" t="s">
        <v>2497</v>
      </c>
      <c r="C25" t="s">
        <v>1833</v>
      </c>
      <c r="D25" t="s">
        <v>255</v>
      </c>
      <c r="E25" t="s">
        <v>287</v>
      </c>
      <c r="F25" t="s">
        <v>1834</v>
      </c>
      <c r="G25" t="s">
        <v>1835</v>
      </c>
      <c r="H25" t="s">
        <v>1836</v>
      </c>
      <c r="I25" t="str">
        <f t="shared" si="5"/>
        <v>32.15 mi</v>
      </c>
      <c r="J25">
        <f t="shared" si="1"/>
        <v>7</v>
      </c>
      <c r="K25" t="str">
        <f t="shared" si="6"/>
        <v>32.15 </v>
      </c>
      <c r="L25">
        <f t="shared" si="3"/>
        <v>800.35</v>
      </c>
      <c r="M25" t="str">
        <f t="shared" si="7"/>
        <v> Q R</v>
      </c>
    </row>
    <row r="26" spans="1:13" ht="15">
      <c r="A26" t="s">
        <v>1837</v>
      </c>
      <c r="B26" t="s">
        <v>1648</v>
      </c>
      <c r="C26" t="s">
        <v>1368</v>
      </c>
      <c r="D26" t="s">
        <v>2488</v>
      </c>
      <c r="E26" t="s">
        <v>1123</v>
      </c>
      <c r="F26" t="s">
        <v>1369</v>
      </c>
      <c r="G26" t="s">
        <v>1370</v>
      </c>
      <c r="H26" t="s">
        <v>1371</v>
      </c>
      <c r="I26" t="str">
        <f t="shared" si="5"/>
        <v>34.56 mi</v>
      </c>
      <c r="J26">
        <f t="shared" si="1"/>
        <v>7</v>
      </c>
      <c r="K26" t="str">
        <f t="shared" si="6"/>
        <v>34.56 </v>
      </c>
      <c r="L26">
        <f t="shared" si="3"/>
        <v>802.76</v>
      </c>
      <c r="M26" t="str">
        <f t="shared" si="7"/>
        <v> T R</v>
      </c>
    </row>
    <row r="27" spans="1:13" ht="15">
      <c r="A27" t="s">
        <v>1372</v>
      </c>
      <c r="B27" t="s">
        <v>1608</v>
      </c>
      <c r="C27" t="s">
        <v>1373</v>
      </c>
      <c r="D27" t="s">
        <v>1374</v>
      </c>
      <c r="E27" t="s">
        <v>288</v>
      </c>
      <c r="F27" t="s">
        <v>1375</v>
      </c>
      <c r="G27" t="s">
        <v>1376</v>
      </c>
      <c r="H27" t="s">
        <v>1377</v>
      </c>
      <c r="I27" t="str">
        <f t="shared" si="5"/>
        <v>34.67 mi</v>
      </c>
      <c r="J27">
        <f t="shared" si="1"/>
        <v>7</v>
      </c>
      <c r="K27" t="str">
        <f t="shared" si="6"/>
        <v>34.67 </v>
      </c>
      <c r="L27">
        <f t="shared" si="3"/>
        <v>802.87</v>
      </c>
      <c r="M27" t="str">
        <f t="shared" si="7"/>
        <v> Q L</v>
      </c>
    </row>
    <row r="28" spans="1:13" ht="15">
      <c r="A28" t="s">
        <v>3505</v>
      </c>
      <c r="B28" t="s">
        <v>1641</v>
      </c>
      <c r="C28" t="s">
        <v>3506</v>
      </c>
      <c r="D28" t="s">
        <v>2475</v>
      </c>
      <c r="E28" t="s">
        <v>1124</v>
      </c>
      <c r="F28" t="s">
        <v>3507</v>
      </c>
      <c r="G28" t="s">
        <v>3508</v>
      </c>
      <c r="H28" t="s">
        <v>3509</v>
      </c>
      <c r="I28" t="str">
        <f t="shared" si="5"/>
        <v>39.94 mi</v>
      </c>
      <c r="J28">
        <f t="shared" si="1"/>
        <v>7</v>
      </c>
      <c r="K28" t="str">
        <f t="shared" si="6"/>
        <v>39.94 </v>
      </c>
      <c r="L28">
        <f t="shared" si="3"/>
        <v>808.1400000000001</v>
      </c>
      <c r="M28" t="str">
        <f t="shared" si="7"/>
        <v> R</v>
      </c>
    </row>
    <row r="29" spans="1:13" ht="15">
      <c r="A29" t="s">
        <v>3510</v>
      </c>
      <c r="B29" t="s">
        <v>2484</v>
      </c>
      <c r="C29" t="s">
        <v>3511</v>
      </c>
      <c r="D29" t="s">
        <v>3512</v>
      </c>
      <c r="E29" t="s">
        <v>1125</v>
      </c>
      <c r="F29" t="s">
        <v>3513</v>
      </c>
      <c r="G29" t="s">
        <v>3514</v>
      </c>
      <c r="H29" t="s">
        <v>3515</v>
      </c>
      <c r="I29" t="str">
        <f t="shared" si="5"/>
        <v>40.47 mi</v>
      </c>
      <c r="J29">
        <f t="shared" si="1"/>
        <v>7</v>
      </c>
      <c r="K29" t="str">
        <f t="shared" si="6"/>
        <v>40.47 </v>
      </c>
      <c r="L29">
        <f t="shared" si="3"/>
        <v>808.6700000000001</v>
      </c>
      <c r="M29" t="str">
        <f t="shared" si="7"/>
        <v> ***1st L</v>
      </c>
    </row>
    <row r="30" spans="1:13" ht="15">
      <c r="A30" t="s">
        <v>3516</v>
      </c>
      <c r="B30" t="s">
        <v>256</v>
      </c>
      <c r="C30" t="s">
        <v>3517</v>
      </c>
      <c r="D30" t="s">
        <v>1601</v>
      </c>
      <c r="E30" t="s">
        <v>289</v>
      </c>
      <c r="F30" t="s">
        <v>3518</v>
      </c>
      <c r="G30" t="s">
        <v>3519</v>
      </c>
      <c r="H30" t="s">
        <v>3520</v>
      </c>
      <c r="I30" t="str">
        <f t="shared" si="5"/>
        <v>41.59 mi</v>
      </c>
      <c r="J30">
        <f t="shared" si="1"/>
        <v>7</v>
      </c>
      <c r="K30" t="str">
        <f t="shared" si="6"/>
        <v>41.59 </v>
      </c>
      <c r="L30">
        <f t="shared" si="3"/>
        <v>809.7900000000001</v>
      </c>
      <c r="M30" t="str">
        <f t="shared" si="7"/>
        <v> TL + QR</v>
      </c>
    </row>
    <row r="31" spans="1:13" ht="15">
      <c r="A31" t="s">
        <v>3521</v>
      </c>
      <c r="B31" t="s">
        <v>1644</v>
      </c>
      <c r="C31" t="s">
        <v>3522</v>
      </c>
      <c r="D31" t="s">
        <v>2499</v>
      </c>
      <c r="E31" t="s">
        <v>290</v>
      </c>
      <c r="F31" t="s">
        <v>3523</v>
      </c>
      <c r="G31" t="s">
        <v>3524</v>
      </c>
      <c r="H31" t="s">
        <v>3525</v>
      </c>
      <c r="I31" t="str">
        <f t="shared" si="5"/>
        <v>42.49 mi</v>
      </c>
      <c r="J31">
        <f t="shared" si="1"/>
        <v>7</v>
      </c>
      <c r="K31" t="str">
        <f t="shared" si="6"/>
        <v>42.49 </v>
      </c>
      <c r="L31">
        <f t="shared" si="3"/>
        <v>810.69</v>
      </c>
      <c r="M31" t="str">
        <f t="shared" si="7"/>
        <v> L</v>
      </c>
    </row>
    <row r="32" spans="1:13" ht="15">
      <c r="A32" t="s">
        <v>1405</v>
      </c>
      <c r="B32" t="s">
        <v>1643</v>
      </c>
      <c r="C32" t="s">
        <v>1884</v>
      </c>
      <c r="D32" t="s">
        <v>1885</v>
      </c>
      <c r="E32" t="s">
        <v>291</v>
      </c>
      <c r="F32" t="s">
        <v>1886</v>
      </c>
      <c r="G32" t="s">
        <v>1887</v>
      </c>
      <c r="H32" t="s">
        <v>1888</v>
      </c>
      <c r="I32" t="str">
        <f t="shared" si="5"/>
        <v>42.78 mi</v>
      </c>
      <c r="J32">
        <f t="shared" si="1"/>
        <v>7</v>
      </c>
      <c r="K32" t="str">
        <f t="shared" si="6"/>
        <v>42.78 </v>
      </c>
      <c r="L32">
        <f t="shared" si="3"/>
        <v>810.98</v>
      </c>
      <c r="M32" t="str">
        <f t="shared" si="7"/>
        <v> 1st L</v>
      </c>
    </row>
    <row r="33" spans="1:13" ht="15">
      <c r="A33" t="s">
        <v>2087</v>
      </c>
      <c r="B33" t="s">
        <v>1647</v>
      </c>
      <c r="C33" t="s">
        <v>2088</v>
      </c>
      <c r="D33" t="s">
        <v>1649</v>
      </c>
      <c r="E33" t="s">
        <v>292</v>
      </c>
      <c r="F33" t="s">
        <v>2089</v>
      </c>
      <c r="G33" t="s">
        <v>2090</v>
      </c>
      <c r="H33" t="s">
        <v>2091</v>
      </c>
      <c r="I33" t="str">
        <f t="shared" si="5"/>
        <v>43.70 mi</v>
      </c>
      <c r="J33">
        <f t="shared" si="1"/>
        <v>7</v>
      </c>
      <c r="K33" t="str">
        <f t="shared" si="6"/>
        <v>43.70 </v>
      </c>
      <c r="L33">
        <f t="shared" si="3"/>
        <v>811.9000000000001</v>
      </c>
      <c r="M33" t="str">
        <f t="shared" si="7"/>
        <v> T L</v>
      </c>
    </row>
    <row r="34" spans="1:13" ht="15">
      <c r="A34" t="s">
        <v>2092</v>
      </c>
      <c r="B34" t="s">
        <v>1645</v>
      </c>
      <c r="C34" t="s">
        <v>2093</v>
      </c>
      <c r="D34" t="s">
        <v>1270</v>
      </c>
      <c r="E34" t="s">
        <v>293</v>
      </c>
      <c r="F34" t="s">
        <v>2094</v>
      </c>
      <c r="G34" t="s">
        <v>2095</v>
      </c>
      <c r="H34" t="s">
        <v>2096</v>
      </c>
      <c r="I34" t="str">
        <f t="shared" si="5"/>
        <v>43.81 mi</v>
      </c>
      <c r="J34">
        <f t="shared" si="1"/>
        <v>7</v>
      </c>
      <c r="K34" t="str">
        <f t="shared" si="6"/>
        <v>43.81 </v>
      </c>
      <c r="L34">
        <f t="shared" si="3"/>
        <v>812.01</v>
      </c>
      <c r="M34" t="str">
        <f t="shared" si="7"/>
        <v> B R</v>
      </c>
    </row>
    <row r="35" spans="1:13" ht="15">
      <c r="A35" t="s">
        <v>2097</v>
      </c>
      <c r="B35" t="s">
        <v>256</v>
      </c>
      <c r="C35" t="s">
        <v>2098</v>
      </c>
      <c r="D35" t="s">
        <v>2099</v>
      </c>
      <c r="E35" t="s">
        <v>294</v>
      </c>
      <c r="F35" t="s">
        <v>2100</v>
      </c>
      <c r="G35" t="s">
        <v>2101</v>
      </c>
      <c r="H35" t="s">
        <v>2102</v>
      </c>
      <c r="I35" t="str">
        <f t="shared" si="5"/>
        <v>44.82 mi</v>
      </c>
      <c r="J35">
        <f t="shared" si="1"/>
        <v>7</v>
      </c>
      <c r="K35" t="str">
        <f t="shared" si="6"/>
        <v>44.82 </v>
      </c>
      <c r="L35">
        <f t="shared" si="3"/>
        <v>813.0200000000001</v>
      </c>
      <c r="M35" t="str">
        <f t="shared" si="7"/>
        <v> TL + QR</v>
      </c>
    </row>
    <row r="36" spans="1:13" ht="15">
      <c r="A36" t="s">
        <v>2103</v>
      </c>
      <c r="B36" t="s">
        <v>1641</v>
      </c>
      <c r="C36" t="s">
        <v>2104</v>
      </c>
      <c r="D36" t="s">
        <v>3526</v>
      </c>
      <c r="E36" t="s">
        <v>1126</v>
      </c>
      <c r="F36" t="s">
        <v>2105</v>
      </c>
      <c r="G36" t="s">
        <v>2106</v>
      </c>
      <c r="H36" t="s">
        <v>2107</v>
      </c>
      <c r="I36" t="str">
        <f t="shared" si="5"/>
        <v>46.48 mi</v>
      </c>
      <c r="J36">
        <f t="shared" si="1"/>
        <v>7</v>
      </c>
      <c r="K36" t="str">
        <f t="shared" si="6"/>
        <v>46.48 </v>
      </c>
      <c r="L36">
        <f t="shared" si="3"/>
        <v>814.6800000000001</v>
      </c>
      <c r="M36" t="str">
        <f t="shared" si="7"/>
        <v> R</v>
      </c>
    </row>
    <row r="37" spans="1:13" ht="15">
      <c r="A37" t="s">
        <v>3504</v>
      </c>
      <c r="B37" t="s">
        <v>2126</v>
      </c>
      <c r="C37" t="s">
        <v>2108</v>
      </c>
      <c r="D37" t="s">
        <v>1662</v>
      </c>
      <c r="E37" t="s">
        <v>1127</v>
      </c>
      <c r="F37" t="s">
        <v>2109</v>
      </c>
      <c r="G37" t="s">
        <v>2110</v>
      </c>
      <c r="H37" t="s">
        <v>2111</v>
      </c>
      <c r="I37" t="str">
        <f t="shared" si="5"/>
        <v>46.89 mi</v>
      </c>
      <c r="J37">
        <f t="shared" si="1"/>
        <v>7</v>
      </c>
      <c r="K37" t="str">
        <f t="shared" si="6"/>
        <v>46.89 </v>
      </c>
      <c r="L37">
        <f t="shared" si="3"/>
        <v>815.09</v>
      </c>
      <c r="M37" t="str">
        <f t="shared" si="7"/>
        <v> 2nd L</v>
      </c>
    </row>
    <row r="38" spans="1:13" ht="15">
      <c r="A38" t="s">
        <v>2112</v>
      </c>
      <c r="B38" t="s">
        <v>1647</v>
      </c>
      <c r="C38" t="s">
        <v>2113</v>
      </c>
      <c r="D38" t="s">
        <v>2478</v>
      </c>
      <c r="E38" t="s">
        <v>295</v>
      </c>
      <c r="F38" t="s">
        <v>2114</v>
      </c>
      <c r="G38" t="s">
        <v>2115</v>
      </c>
      <c r="H38" t="s">
        <v>2116</v>
      </c>
      <c r="I38" t="str">
        <f t="shared" si="5"/>
        <v>47.50 mi</v>
      </c>
      <c r="J38">
        <f t="shared" si="1"/>
        <v>7</v>
      </c>
      <c r="K38" t="str">
        <f t="shared" si="6"/>
        <v>47.50 </v>
      </c>
      <c r="L38">
        <f t="shared" si="3"/>
        <v>815.7</v>
      </c>
      <c r="M38" t="str">
        <f t="shared" si="7"/>
        <v> T L</v>
      </c>
    </row>
    <row r="39" spans="1:13" ht="15">
      <c r="A39" t="s">
        <v>1384</v>
      </c>
      <c r="B39" t="s">
        <v>2497</v>
      </c>
      <c r="C39" t="s">
        <v>1385</v>
      </c>
      <c r="D39" t="s">
        <v>1790</v>
      </c>
      <c r="E39" t="s">
        <v>296</v>
      </c>
      <c r="F39" t="s">
        <v>1386</v>
      </c>
      <c r="G39" t="s">
        <v>1387</v>
      </c>
      <c r="H39" t="s">
        <v>1388</v>
      </c>
      <c r="I39" t="str">
        <f t="shared" si="5"/>
        <v>47.55 mi</v>
      </c>
      <c r="J39">
        <f t="shared" si="1"/>
        <v>7</v>
      </c>
      <c r="K39" t="str">
        <f t="shared" si="6"/>
        <v>47.55 </v>
      </c>
      <c r="L39">
        <f t="shared" si="3"/>
        <v>815.75</v>
      </c>
      <c r="M39" t="str">
        <f t="shared" si="7"/>
        <v> Q R</v>
      </c>
    </row>
    <row r="40" spans="1:13" ht="15">
      <c r="A40" t="s">
        <v>1389</v>
      </c>
      <c r="B40" t="s">
        <v>1647</v>
      </c>
      <c r="C40" t="s">
        <v>1390</v>
      </c>
      <c r="D40" t="s">
        <v>1664</v>
      </c>
      <c r="E40" t="s">
        <v>1128</v>
      </c>
      <c r="F40" t="s">
        <v>1391</v>
      </c>
      <c r="G40" t="s">
        <v>1392</v>
      </c>
      <c r="H40" t="s">
        <v>1393</v>
      </c>
      <c r="I40" t="str">
        <f t="shared" si="5"/>
        <v>48.87 mi</v>
      </c>
      <c r="J40">
        <f t="shared" si="1"/>
        <v>7</v>
      </c>
      <c r="K40" t="str">
        <f t="shared" si="6"/>
        <v>48.87 </v>
      </c>
      <c r="L40">
        <f t="shared" si="3"/>
        <v>817.07</v>
      </c>
      <c r="M40" t="str">
        <f t="shared" si="7"/>
        <v> T L</v>
      </c>
    </row>
    <row r="41" spans="1:13" ht="15">
      <c r="A41" t="s">
        <v>1394</v>
      </c>
      <c r="B41" t="s">
        <v>1646</v>
      </c>
      <c r="C41" t="s">
        <v>1395</v>
      </c>
      <c r="D41" t="s">
        <v>2488</v>
      </c>
      <c r="E41" t="s">
        <v>297</v>
      </c>
      <c r="F41" t="s">
        <v>1396</v>
      </c>
      <c r="G41" t="s">
        <v>1397</v>
      </c>
      <c r="H41" t="s">
        <v>1398</v>
      </c>
      <c r="I41" t="str">
        <f t="shared" si="5"/>
        <v>49.01 mi</v>
      </c>
      <c r="J41">
        <f t="shared" si="1"/>
        <v>7</v>
      </c>
      <c r="K41" t="str">
        <f t="shared" si="6"/>
        <v>49.01 </v>
      </c>
      <c r="L41">
        <f t="shared" si="3"/>
        <v>817.21</v>
      </c>
      <c r="M41" t="str">
        <f t="shared" si="7"/>
        <v> X</v>
      </c>
    </row>
    <row r="42" spans="1:13" ht="15">
      <c r="A42" t="s">
        <v>1399</v>
      </c>
      <c r="B42" t="s">
        <v>3528</v>
      </c>
      <c r="C42" t="s">
        <v>1400</v>
      </c>
      <c r="D42" t="s">
        <v>2473</v>
      </c>
      <c r="E42" t="s">
        <v>1129</v>
      </c>
      <c r="F42" t="s">
        <v>1401</v>
      </c>
      <c r="G42" t="s">
        <v>1402</v>
      </c>
      <c r="H42" t="s">
        <v>1403</v>
      </c>
      <c r="I42" t="str">
        <f t="shared" si="5"/>
        <v>49.10 mi</v>
      </c>
      <c r="J42">
        <f t="shared" si="1"/>
        <v>7</v>
      </c>
      <c r="K42" t="str">
        <f t="shared" si="6"/>
        <v>49.10 </v>
      </c>
      <c r="L42">
        <f t="shared" si="3"/>
        <v>817.3000000000001</v>
      </c>
      <c r="M42" t="str">
        <f t="shared" si="7"/>
        <v> TR + QL</v>
      </c>
    </row>
    <row r="43" spans="1:13" ht="15">
      <c r="A43" t="s">
        <v>1404</v>
      </c>
      <c r="B43" t="s">
        <v>1651</v>
      </c>
      <c r="C43" t="s">
        <v>407</v>
      </c>
      <c r="D43" t="s">
        <v>3576</v>
      </c>
      <c r="E43" t="s">
        <v>298</v>
      </c>
      <c r="F43" t="s">
        <v>408</v>
      </c>
      <c r="G43" t="s">
        <v>409</v>
      </c>
      <c r="H43" t="s">
        <v>410</v>
      </c>
      <c r="I43" t="str">
        <f t="shared" si="5"/>
        <v>49.53 mi</v>
      </c>
      <c r="J43">
        <f t="shared" si="1"/>
        <v>7</v>
      </c>
      <c r="K43" t="str">
        <f t="shared" si="6"/>
        <v>49.53 </v>
      </c>
      <c r="L43">
        <f t="shared" si="3"/>
        <v>817.73</v>
      </c>
      <c r="M43" t="str">
        <f t="shared" si="7"/>
        <v> 1st R</v>
      </c>
    </row>
    <row r="44" spans="1:13" ht="15">
      <c r="A44" t="s">
        <v>411</v>
      </c>
      <c r="B44" t="s">
        <v>1643</v>
      </c>
      <c r="C44" t="s">
        <v>412</v>
      </c>
      <c r="D44" t="s">
        <v>2496</v>
      </c>
      <c r="E44" t="s">
        <v>299</v>
      </c>
      <c r="F44" t="s">
        <v>413</v>
      </c>
      <c r="G44" t="s">
        <v>3577</v>
      </c>
      <c r="H44" t="s">
        <v>414</v>
      </c>
      <c r="I44" t="str">
        <f t="shared" si="5"/>
        <v>50.18 mi</v>
      </c>
      <c r="J44">
        <f t="shared" si="1"/>
        <v>7</v>
      </c>
      <c r="K44" t="str">
        <f t="shared" si="6"/>
        <v>50.18 </v>
      </c>
      <c r="L44">
        <f t="shared" si="3"/>
        <v>818.38</v>
      </c>
      <c r="M44" t="str">
        <f t="shared" si="7"/>
        <v> 1st L</v>
      </c>
    </row>
    <row r="45" spans="1:13" ht="15">
      <c r="A45" t="s">
        <v>415</v>
      </c>
      <c r="B45" t="s">
        <v>1648</v>
      </c>
      <c r="C45" t="s">
        <v>416</v>
      </c>
      <c r="D45" t="s">
        <v>417</v>
      </c>
      <c r="E45" t="s">
        <v>300</v>
      </c>
      <c r="F45" t="s">
        <v>418</v>
      </c>
      <c r="G45" t="s">
        <v>419</v>
      </c>
      <c r="H45" t="s">
        <v>420</v>
      </c>
      <c r="I45" t="str">
        <f t="shared" si="5"/>
        <v>51.12 mi</v>
      </c>
      <c r="J45">
        <f t="shared" si="1"/>
        <v>7</v>
      </c>
      <c r="K45" t="str">
        <f t="shared" si="6"/>
        <v>51.12 </v>
      </c>
      <c r="L45">
        <f t="shared" si="3"/>
        <v>819.32</v>
      </c>
      <c r="M45" t="str">
        <f t="shared" si="7"/>
        <v> T R</v>
      </c>
    </row>
    <row r="46" spans="1:13" ht="15">
      <c r="A46" t="s">
        <v>421</v>
      </c>
      <c r="B46" t="s">
        <v>1646</v>
      </c>
      <c r="C46" t="s">
        <v>422</v>
      </c>
      <c r="D46" t="s">
        <v>1381</v>
      </c>
      <c r="E46" t="s">
        <v>301</v>
      </c>
      <c r="F46" t="s">
        <v>423</v>
      </c>
      <c r="G46" t="s">
        <v>424</v>
      </c>
      <c r="H46" t="s">
        <v>425</v>
      </c>
      <c r="I46" t="str">
        <f t="shared" si="5"/>
        <v>52.56 mi</v>
      </c>
      <c r="J46">
        <f t="shared" si="1"/>
        <v>7</v>
      </c>
      <c r="K46" t="str">
        <f t="shared" si="6"/>
        <v>52.56 </v>
      </c>
      <c r="L46">
        <f t="shared" si="3"/>
        <v>820.76</v>
      </c>
      <c r="M46" t="str">
        <f t="shared" si="7"/>
        <v> X</v>
      </c>
    </row>
    <row r="47" spans="1:13" ht="15">
      <c r="A47" t="s">
        <v>426</v>
      </c>
      <c r="B47" t="s">
        <v>1643</v>
      </c>
      <c r="C47" t="s">
        <v>427</v>
      </c>
      <c r="D47" t="s">
        <v>1653</v>
      </c>
      <c r="E47" t="s">
        <v>302</v>
      </c>
      <c r="F47" t="s">
        <v>428</v>
      </c>
      <c r="G47" t="s">
        <v>429</v>
      </c>
      <c r="H47" t="s">
        <v>430</v>
      </c>
      <c r="I47" t="str">
        <f t="shared" si="5"/>
        <v>53.26 mi</v>
      </c>
      <c r="J47">
        <f t="shared" si="1"/>
        <v>7</v>
      </c>
      <c r="K47" t="str">
        <f t="shared" si="6"/>
        <v>53.26 </v>
      </c>
      <c r="L47">
        <f t="shared" si="3"/>
        <v>821.46</v>
      </c>
      <c r="M47" t="str">
        <f t="shared" si="7"/>
        <v> 1st L</v>
      </c>
    </row>
    <row r="48" spans="1:13" ht="15">
      <c r="A48" t="s">
        <v>431</v>
      </c>
      <c r="B48" t="s">
        <v>1650</v>
      </c>
      <c r="C48" t="s">
        <v>432</v>
      </c>
      <c r="D48" t="s">
        <v>1665</v>
      </c>
      <c r="E48" t="s">
        <v>303</v>
      </c>
      <c r="F48" t="s">
        <v>433</v>
      </c>
      <c r="G48" t="s">
        <v>434</v>
      </c>
      <c r="H48" t="s">
        <v>435</v>
      </c>
      <c r="I48" t="str">
        <f t="shared" si="5"/>
        <v>53.43 mi</v>
      </c>
      <c r="J48">
        <f t="shared" si="1"/>
        <v>7</v>
      </c>
      <c r="K48" t="str">
        <f t="shared" si="6"/>
        <v>53.43 </v>
      </c>
      <c r="L48">
        <f t="shared" si="3"/>
        <v>821.63</v>
      </c>
      <c r="M48" t="str">
        <f t="shared" si="7"/>
        <v> Pass</v>
      </c>
    </row>
    <row r="49" spans="1:13" ht="15">
      <c r="A49" t="s">
        <v>436</v>
      </c>
      <c r="B49" t="s">
        <v>1647</v>
      </c>
      <c r="C49" t="s">
        <v>437</v>
      </c>
      <c r="D49" t="s">
        <v>3470</v>
      </c>
      <c r="E49" t="s">
        <v>304</v>
      </c>
      <c r="F49" t="s">
        <v>438</v>
      </c>
      <c r="G49" t="s">
        <v>439</v>
      </c>
      <c r="H49" t="s">
        <v>440</v>
      </c>
      <c r="I49" t="str">
        <f t="shared" si="5"/>
        <v>53.82 mi</v>
      </c>
      <c r="J49">
        <f t="shared" si="1"/>
        <v>7</v>
      </c>
      <c r="K49" t="str">
        <f t="shared" si="6"/>
        <v>53.82 </v>
      </c>
      <c r="L49">
        <f t="shared" si="3"/>
        <v>822.0200000000001</v>
      </c>
      <c r="M49" t="str">
        <f t="shared" si="7"/>
        <v> T L</v>
      </c>
    </row>
    <row r="50" spans="1:13" ht="15">
      <c r="A50" t="s">
        <v>441</v>
      </c>
      <c r="B50" t="s">
        <v>1648</v>
      </c>
      <c r="C50" t="s">
        <v>442</v>
      </c>
      <c r="D50" t="s">
        <v>2575</v>
      </c>
      <c r="E50" t="s">
        <v>1130</v>
      </c>
      <c r="F50" t="s">
        <v>2123</v>
      </c>
      <c r="G50" t="s">
        <v>439</v>
      </c>
      <c r="H50" t="s">
        <v>2124</v>
      </c>
      <c r="I50" t="str">
        <f t="shared" si="5"/>
        <v>54.26 mi</v>
      </c>
      <c r="J50">
        <f t="shared" si="1"/>
        <v>7</v>
      </c>
      <c r="K50" t="str">
        <f t="shared" si="6"/>
        <v>54.26 </v>
      </c>
      <c r="L50">
        <f t="shared" si="3"/>
        <v>822.46</v>
      </c>
      <c r="M50" t="str">
        <f t="shared" si="7"/>
        <v> T R</v>
      </c>
    </row>
    <row r="51" spans="1:13" ht="15">
      <c r="A51" t="s">
        <v>2125</v>
      </c>
      <c r="B51" t="s">
        <v>2126</v>
      </c>
      <c r="C51" t="s">
        <v>2127</v>
      </c>
      <c r="D51" t="s">
        <v>1269</v>
      </c>
      <c r="E51" t="s">
        <v>1131</v>
      </c>
      <c r="F51" t="s">
        <v>2128</v>
      </c>
      <c r="G51" t="s">
        <v>2129</v>
      </c>
      <c r="H51" t="s">
        <v>2130</v>
      </c>
      <c r="I51" t="str">
        <f t="shared" si="5"/>
        <v>54.83 mi</v>
      </c>
      <c r="J51">
        <f t="shared" si="1"/>
        <v>7</v>
      </c>
      <c r="K51" t="str">
        <f t="shared" si="6"/>
        <v>54.83 </v>
      </c>
      <c r="L51">
        <f t="shared" si="3"/>
        <v>823.0300000000001</v>
      </c>
      <c r="M51" t="str">
        <f t="shared" si="7"/>
        <v> 2nd L</v>
      </c>
    </row>
    <row r="52" spans="1:13" ht="15">
      <c r="A52" t="s">
        <v>1979</v>
      </c>
      <c r="B52" t="s">
        <v>3528</v>
      </c>
      <c r="C52" t="s">
        <v>1980</v>
      </c>
      <c r="D52" t="s">
        <v>2422</v>
      </c>
      <c r="E52" t="s">
        <v>305</v>
      </c>
      <c r="F52" t="s">
        <v>1981</v>
      </c>
      <c r="G52" t="s">
        <v>1982</v>
      </c>
      <c r="H52" t="s">
        <v>1983</v>
      </c>
      <c r="I52" t="str">
        <f t="shared" si="5"/>
        <v>55.45 mi</v>
      </c>
      <c r="J52">
        <f t="shared" si="1"/>
        <v>7</v>
      </c>
      <c r="K52" t="str">
        <f t="shared" si="6"/>
        <v>55.45 </v>
      </c>
      <c r="L52">
        <f t="shared" si="3"/>
        <v>823.6500000000001</v>
      </c>
      <c r="M52" t="str">
        <f t="shared" si="7"/>
        <v> TR + QL</v>
      </c>
    </row>
    <row r="53" spans="1:13" ht="15">
      <c r="A53" t="s">
        <v>1984</v>
      </c>
      <c r="B53" t="s">
        <v>1648</v>
      </c>
      <c r="C53" t="s">
        <v>1985</v>
      </c>
      <c r="D53" t="s">
        <v>3578</v>
      </c>
      <c r="E53" t="s">
        <v>306</v>
      </c>
      <c r="F53" t="s">
        <v>1986</v>
      </c>
      <c r="G53" t="s">
        <v>1987</v>
      </c>
      <c r="H53" t="s">
        <v>1988</v>
      </c>
      <c r="I53" t="str">
        <f t="shared" si="5"/>
        <v>56.28 mi</v>
      </c>
      <c r="J53">
        <f t="shared" si="1"/>
        <v>7</v>
      </c>
      <c r="K53" t="str">
        <f t="shared" si="6"/>
        <v>56.28 </v>
      </c>
      <c r="L53">
        <f t="shared" si="3"/>
        <v>824.48</v>
      </c>
      <c r="M53" t="str">
        <f t="shared" si="7"/>
        <v> T R</v>
      </c>
    </row>
    <row r="54" spans="1:13" ht="15">
      <c r="A54" t="s">
        <v>3579</v>
      </c>
      <c r="B54" t="s">
        <v>1669</v>
      </c>
      <c r="C54" t="s">
        <v>3580</v>
      </c>
      <c r="D54" t="s">
        <v>1622</v>
      </c>
      <c r="E54" t="s">
        <v>1132</v>
      </c>
      <c r="F54" t="s">
        <v>2491</v>
      </c>
      <c r="G54" t="s">
        <v>3581</v>
      </c>
      <c r="H54" t="s">
        <v>3582</v>
      </c>
      <c r="I54" t="str">
        <f t="shared" si="5"/>
        <v>56.96 mi</v>
      </c>
      <c r="J54">
        <f t="shared" si="1"/>
        <v>7</v>
      </c>
      <c r="K54" t="str">
        <f t="shared" si="6"/>
        <v>56.96 </v>
      </c>
      <c r="L54">
        <f t="shared" si="3"/>
        <v>825.1600000000001</v>
      </c>
      <c r="M54" t="str">
        <f t="shared" si="7"/>
        <v> STOP</v>
      </c>
    </row>
    <row r="55" spans="1:13" ht="15">
      <c r="A55" t="s">
        <v>3583</v>
      </c>
      <c r="B55" t="s">
        <v>1616</v>
      </c>
      <c r="C55" t="s">
        <v>2503</v>
      </c>
      <c r="D55" t="s">
        <v>1610</v>
      </c>
      <c r="E55" t="s">
        <v>307</v>
      </c>
      <c r="F55" t="s">
        <v>3584</v>
      </c>
      <c r="G55" t="s">
        <v>3585</v>
      </c>
      <c r="H55" t="s">
        <v>3586</v>
      </c>
      <c r="I55" t="str">
        <f t="shared" si="5"/>
        <v>56.98 mi</v>
      </c>
      <c r="J55">
        <f t="shared" si="1"/>
        <v>7</v>
      </c>
      <c r="K55" t="str">
        <f t="shared" si="6"/>
        <v>56.98 </v>
      </c>
      <c r="L55">
        <f t="shared" si="3"/>
        <v>825.1800000000001</v>
      </c>
      <c r="M55" t="str">
        <f t="shared" si="7"/>
        <v> Turn</v>
      </c>
    </row>
    <row r="56" spans="1:13" ht="15">
      <c r="A56" t="s">
        <v>2504</v>
      </c>
      <c r="B56" t="s">
        <v>1643</v>
      </c>
      <c r="C56" t="s">
        <v>3587</v>
      </c>
      <c r="D56" t="s">
        <v>1612</v>
      </c>
      <c r="E56" t="s">
        <v>308</v>
      </c>
      <c r="F56" t="s">
        <v>3588</v>
      </c>
      <c r="G56" t="s">
        <v>3589</v>
      </c>
      <c r="H56" t="s">
        <v>3590</v>
      </c>
      <c r="I56" t="str">
        <f t="shared" si="5"/>
        <v>57.35 mi</v>
      </c>
      <c r="J56">
        <f t="shared" si="1"/>
        <v>7</v>
      </c>
      <c r="K56" t="str">
        <f t="shared" si="6"/>
        <v>57.35 </v>
      </c>
      <c r="L56">
        <f t="shared" si="3"/>
        <v>825.5500000000001</v>
      </c>
      <c r="M56" t="str">
        <f t="shared" si="7"/>
        <v> 1st L</v>
      </c>
    </row>
    <row r="57" spans="1:13" ht="15">
      <c r="A57" t="s">
        <v>3591</v>
      </c>
      <c r="B57" t="s">
        <v>1648</v>
      </c>
      <c r="C57" t="s">
        <v>3592</v>
      </c>
      <c r="D57" t="s">
        <v>2487</v>
      </c>
      <c r="E57" t="s">
        <v>309</v>
      </c>
      <c r="F57" t="s">
        <v>3593</v>
      </c>
      <c r="G57" t="s">
        <v>3594</v>
      </c>
      <c r="H57" t="s">
        <v>3595</v>
      </c>
      <c r="I57" t="str">
        <f t="shared" si="5"/>
        <v>57.56 mi</v>
      </c>
      <c r="J57">
        <f t="shared" si="1"/>
        <v>7</v>
      </c>
      <c r="K57" t="str">
        <f t="shared" si="6"/>
        <v>57.56 </v>
      </c>
      <c r="L57">
        <f t="shared" si="3"/>
        <v>825.76</v>
      </c>
      <c r="M57" t="str">
        <f t="shared" si="7"/>
        <v> T R</v>
      </c>
    </row>
    <row r="58" spans="1:13" ht="15">
      <c r="A58" t="s">
        <v>3596</v>
      </c>
      <c r="B58" t="s">
        <v>1647</v>
      </c>
      <c r="C58" t="s">
        <v>3597</v>
      </c>
      <c r="D58" t="s">
        <v>1664</v>
      </c>
      <c r="E58" t="s">
        <v>310</v>
      </c>
      <c r="F58" t="s">
        <v>3598</v>
      </c>
      <c r="G58" t="s">
        <v>3599</v>
      </c>
      <c r="H58" t="s">
        <v>3600</v>
      </c>
      <c r="I58" t="str">
        <f t="shared" si="5"/>
        <v>58.69 mi</v>
      </c>
      <c r="J58">
        <f t="shared" si="1"/>
        <v>7</v>
      </c>
      <c r="K58" t="str">
        <f t="shared" si="6"/>
        <v>58.69 </v>
      </c>
      <c r="L58">
        <f t="shared" si="3"/>
        <v>826.8900000000001</v>
      </c>
      <c r="M58" t="str">
        <f t="shared" si="7"/>
        <v> T L</v>
      </c>
    </row>
    <row r="59" spans="1:13" ht="15">
      <c r="A59" t="s">
        <v>3601</v>
      </c>
      <c r="B59" t="s">
        <v>1651</v>
      </c>
      <c r="C59" t="s">
        <v>2505</v>
      </c>
      <c r="D59" t="s">
        <v>3603</v>
      </c>
      <c r="E59" t="s">
        <v>311</v>
      </c>
      <c r="F59" t="s">
        <v>3604</v>
      </c>
      <c r="G59" t="s">
        <v>3605</v>
      </c>
      <c r="H59" t="s">
        <v>3606</v>
      </c>
      <c r="I59" t="str">
        <f t="shared" si="5"/>
        <v>58.82 mi</v>
      </c>
      <c r="J59">
        <f t="shared" si="1"/>
        <v>7</v>
      </c>
      <c r="K59" t="str">
        <f t="shared" si="6"/>
        <v>58.82 </v>
      </c>
      <c r="L59">
        <f t="shared" si="3"/>
        <v>827.0200000000001</v>
      </c>
      <c r="M59" t="str">
        <f t="shared" si="7"/>
        <v> 1st R</v>
      </c>
    </row>
    <row r="60" spans="1:13" ht="15">
      <c r="A60" t="s">
        <v>2506</v>
      </c>
      <c r="B60" t="s">
        <v>1641</v>
      </c>
      <c r="C60" t="s">
        <v>3608</v>
      </c>
      <c r="D60" t="s">
        <v>3609</v>
      </c>
      <c r="E60" t="s">
        <v>1133</v>
      </c>
      <c r="F60" t="s">
        <v>3610</v>
      </c>
      <c r="G60" t="s">
        <v>1217</v>
      </c>
      <c r="H60" t="s">
        <v>1218</v>
      </c>
      <c r="I60" t="str">
        <f t="shared" si="5"/>
        <v>59.68 mi</v>
      </c>
      <c r="J60">
        <f t="shared" si="1"/>
        <v>7</v>
      </c>
      <c r="K60" t="str">
        <f t="shared" si="6"/>
        <v>59.68 </v>
      </c>
      <c r="L60">
        <f t="shared" si="3"/>
        <v>827.88</v>
      </c>
      <c r="M60" t="str">
        <f t="shared" si="7"/>
        <v> R</v>
      </c>
    </row>
    <row r="61" spans="1:13" ht="15">
      <c r="A61" t="s">
        <v>1219</v>
      </c>
      <c r="B61" t="s">
        <v>1648</v>
      </c>
      <c r="C61" t="s">
        <v>3602</v>
      </c>
      <c r="D61" t="s">
        <v>1652</v>
      </c>
      <c r="E61" t="s">
        <v>1134</v>
      </c>
      <c r="F61" t="s">
        <v>1220</v>
      </c>
      <c r="G61" t="s">
        <v>1223</v>
      </c>
      <c r="H61" t="s">
        <v>1224</v>
      </c>
      <c r="I61" t="str">
        <f t="shared" si="5"/>
        <v>61.67 mi</v>
      </c>
      <c r="J61">
        <f t="shared" si="1"/>
        <v>7</v>
      </c>
      <c r="K61" t="str">
        <f t="shared" si="6"/>
        <v>61.67 </v>
      </c>
      <c r="L61">
        <f t="shared" si="3"/>
        <v>829.87</v>
      </c>
      <c r="M61" t="str">
        <f t="shared" si="7"/>
        <v> T R</v>
      </c>
    </row>
    <row r="62" spans="1:13" ht="15">
      <c r="A62" t="s">
        <v>3607</v>
      </c>
      <c r="B62" t="s">
        <v>1643</v>
      </c>
      <c r="C62" t="s">
        <v>231</v>
      </c>
      <c r="D62" t="s">
        <v>2483</v>
      </c>
      <c r="E62" t="s">
        <v>312</v>
      </c>
      <c r="F62" t="s">
        <v>1225</v>
      </c>
      <c r="G62" t="s">
        <v>1226</v>
      </c>
      <c r="H62" t="s">
        <v>1227</v>
      </c>
      <c r="I62" t="str">
        <f t="shared" si="5"/>
        <v>61.82 mi</v>
      </c>
      <c r="J62">
        <f t="shared" si="1"/>
        <v>7</v>
      </c>
      <c r="K62" t="str">
        <f t="shared" si="6"/>
        <v>61.82 </v>
      </c>
      <c r="L62">
        <f t="shared" si="3"/>
        <v>830.0200000000001</v>
      </c>
      <c r="M62" t="str">
        <f t="shared" si="7"/>
        <v> 1st L</v>
      </c>
    </row>
    <row r="63" spans="1:13" ht="15">
      <c r="A63" t="s">
        <v>232</v>
      </c>
      <c r="B63" t="s">
        <v>1631</v>
      </c>
      <c r="C63" t="s">
        <v>233</v>
      </c>
      <c r="D63" t="s">
        <v>1665</v>
      </c>
      <c r="E63" t="s">
        <v>1135</v>
      </c>
      <c r="F63" t="s">
        <v>234</v>
      </c>
      <c r="G63" t="s">
        <v>1229</v>
      </c>
      <c r="H63" t="s">
        <v>1230</v>
      </c>
      <c r="I63" t="str">
        <f t="shared" si="5"/>
        <v>64.24 mi</v>
      </c>
      <c r="J63">
        <f t="shared" si="1"/>
        <v>7</v>
      </c>
      <c r="K63" t="str">
        <f t="shared" si="6"/>
        <v>64.24 </v>
      </c>
      <c r="L63">
        <f t="shared" si="3"/>
        <v>832.44</v>
      </c>
      <c r="M63" t="str">
        <f t="shared" si="7"/>
        <v> Straight</v>
      </c>
    </row>
    <row r="64" spans="1:13" ht="15">
      <c r="A64" t="s">
        <v>235</v>
      </c>
      <c r="B64" t="s">
        <v>1621</v>
      </c>
      <c r="C64" t="s">
        <v>1228</v>
      </c>
      <c r="D64" t="s">
        <v>2489</v>
      </c>
      <c r="E64" t="s">
        <v>313</v>
      </c>
      <c r="F64" t="s">
        <v>236</v>
      </c>
      <c r="G64" t="s">
        <v>3577</v>
      </c>
      <c r="H64" t="s">
        <v>237</v>
      </c>
      <c r="I64" t="str">
        <f t="shared" si="5"/>
        <v>64.64 mi</v>
      </c>
      <c r="J64">
        <f t="shared" si="1"/>
        <v>7</v>
      </c>
      <c r="K64" t="str">
        <f t="shared" si="6"/>
        <v>64.64 </v>
      </c>
      <c r="L64">
        <f t="shared" si="3"/>
        <v>832.84</v>
      </c>
      <c r="M64" t="str">
        <f t="shared" si="7"/>
        <v> B L</v>
      </c>
    </row>
    <row r="65" spans="1:13" ht="15">
      <c r="A65" t="s">
        <v>1231</v>
      </c>
      <c r="B65" t="s">
        <v>1648</v>
      </c>
      <c r="C65" t="s">
        <v>238</v>
      </c>
      <c r="D65" t="s">
        <v>1601</v>
      </c>
      <c r="E65" t="s">
        <v>314</v>
      </c>
      <c r="F65" t="s">
        <v>1232</v>
      </c>
      <c r="G65" t="s">
        <v>1233</v>
      </c>
      <c r="H65" t="s">
        <v>1234</v>
      </c>
      <c r="I65" t="str">
        <f t="shared" si="5"/>
        <v>65.35 mi</v>
      </c>
      <c r="J65">
        <f t="shared" si="1"/>
        <v>7</v>
      </c>
      <c r="K65" t="str">
        <f t="shared" si="6"/>
        <v>65.35 </v>
      </c>
      <c r="L65">
        <f t="shared" si="3"/>
        <v>833.5500000000001</v>
      </c>
      <c r="M65" t="str">
        <f t="shared" si="7"/>
        <v> T R</v>
      </c>
    </row>
    <row r="66" spans="1:13" ht="15">
      <c r="A66" t="s">
        <v>239</v>
      </c>
      <c r="B66" t="s">
        <v>1648</v>
      </c>
      <c r="C66" t="s">
        <v>1237</v>
      </c>
      <c r="D66" t="s">
        <v>2499</v>
      </c>
      <c r="E66" t="s">
        <v>315</v>
      </c>
      <c r="F66" t="s">
        <v>240</v>
      </c>
      <c r="G66" t="s">
        <v>1235</v>
      </c>
      <c r="H66" t="s">
        <v>1236</v>
      </c>
      <c r="I66" t="str">
        <f t="shared" si="5"/>
        <v>66.25 mi</v>
      </c>
      <c r="J66">
        <f aca="true" t="shared" si="8" ref="J66:J89">FIND("mi",I66)</f>
        <v>7</v>
      </c>
      <c r="K66" t="str">
        <f t="shared" si="6"/>
        <v>66.25 </v>
      </c>
      <c r="L66">
        <f aca="true" t="shared" si="9" ref="L66:L89">$L$1+K66</f>
        <v>834.45</v>
      </c>
      <c r="M66" t="str">
        <f t="shared" si="7"/>
        <v> T R</v>
      </c>
    </row>
    <row r="67" spans="1:13" ht="15">
      <c r="A67" t="s">
        <v>1238</v>
      </c>
      <c r="B67" t="s">
        <v>1647</v>
      </c>
      <c r="C67" t="s">
        <v>241</v>
      </c>
      <c r="D67" t="s">
        <v>242</v>
      </c>
      <c r="E67" t="s">
        <v>316</v>
      </c>
      <c r="F67" t="s">
        <v>243</v>
      </c>
      <c r="G67" t="s">
        <v>244</v>
      </c>
      <c r="H67" t="s">
        <v>245</v>
      </c>
      <c r="I67" t="str">
        <f t="shared" si="5"/>
        <v>66.53 mi</v>
      </c>
      <c r="J67">
        <f t="shared" si="8"/>
        <v>7</v>
      </c>
      <c r="K67" t="str">
        <f t="shared" si="6"/>
        <v>66.53 </v>
      </c>
      <c r="L67">
        <f t="shared" si="9"/>
        <v>834.73</v>
      </c>
      <c r="M67" t="str">
        <f t="shared" si="7"/>
        <v> T L</v>
      </c>
    </row>
    <row r="68" spans="1:13" ht="15">
      <c r="A68" t="s">
        <v>1989</v>
      </c>
      <c r="B68" t="s">
        <v>1644</v>
      </c>
      <c r="C68" t="s">
        <v>1239</v>
      </c>
      <c r="D68" t="s">
        <v>1990</v>
      </c>
      <c r="E68" t="s">
        <v>1136</v>
      </c>
      <c r="F68" t="s">
        <v>1991</v>
      </c>
      <c r="G68" t="s">
        <v>246</v>
      </c>
      <c r="H68" t="s">
        <v>247</v>
      </c>
      <c r="I68" t="str">
        <f t="shared" si="5"/>
        <v>70.77 mi</v>
      </c>
      <c r="J68">
        <f t="shared" si="8"/>
        <v>7</v>
      </c>
      <c r="K68" t="str">
        <f t="shared" si="6"/>
        <v>70.77 </v>
      </c>
      <c r="L68">
        <f t="shared" si="9"/>
        <v>838.97</v>
      </c>
      <c r="M68" t="str">
        <f t="shared" si="7"/>
        <v> L</v>
      </c>
    </row>
    <row r="69" spans="1:13" ht="15">
      <c r="A69" t="s">
        <v>1992</v>
      </c>
      <c r="B69" t="s">
        <v>1646</v>
      </c>
      <c r="C69" t="s">
        <v>1993</v>
      </c>
      <c r="D69" t="s">
        <v>1653</v>
      </c>
      <c r="E69" t="s">
        <v>317</v>
      </c>
      <c r="F69" t="s">
        <v>1994</v>
      </c>
      <c r="G69" t="s">
        <v>1995</v>
      </c>
      <c r="H69" t="s">
        <v>1996</v>
      </c>
      <c r="I69" t="str">
        <f t="shared" si="5"/>
        <v>71.96 mi</v>
      </c>
      <c r="J69">
        <f t="shared" si="8"/>
        <v>7</v>
      </c>
      <c r="K69" t="str">
        <f t="shared" si="6"/>
        <v>71.96 </v>
      </c>
      <c r="L69">
        <f t="shared" si="9"/>
        <v>840.1600000000001</v>
      </c>
      <c r="M69" t="str">
        <f t="shared" si="7"/>
        <v> X</v>
      </c>
    </row>
    <row r="70" spans="1:13" ht="15">
      <c r="A70" t="s">
        <v>248</v>
      </c>
      <c r="B70" t="s">
        <v>1650</v>
      </c>
      <c r="C70" t="s">
        <v>1241</v>
      </c>
      <c r="D70" t="s">
        <v>2502</v>
      </c>
      <c r="E70" t="s">
        <v>318</v>
      </c>
      <c r="F70" t="s">
        <v>1242</v>
      </c>
      <c r="G70" t="s">
        <v>1243</v>
      </c>
      <c r="H70" t="s">
        <v>1244</v>
      </c>
      <c r="I70" t="str">
        <f t="shared" si="5"/>
        <v>72.13 mi</v>
      </c>
      <c r="J70">
        <f t="shared" si="8"/>
        <v>7</v>
      </c>
      <c r="K70" t="str">
        <f t="shared" si="6"/>
        <v>72.13 </v>
      </c>
      <c r="L70">
        <f t="shared" si="9"/>
        <v>840.33</v>
      </c>
      <c r="M70" t="str">
        <f t="shared" si="7"/>
        <v> Pass</v>
      </c>
    </row>
    <row r="71" spans="1:13" ht="15">
      <c r="A71" t="s">
        <v>1245</v>
      </c>
      <c r="B71" t="s">
        <v>1651</v>
      </c>
      <c r="C71" t="s">
        <v>1246</v>
      </c>
      <c r="D71" t="s">
        <v>1247</v>
      </c>
      <c r="E71" t="s">
        <v>1137</v>
      </c>
      <c r="F71" t="s">
        <v>1248</v>
      </c>
      <c r="G71" t="s">
        <v>1249</v>
      </c>
      <c r="H71" t="s">
        <v>1250</v>
      </c>
      <c r="I71" t="str">
        <f t="shared" si="5"/>
        <v>72.28 mi</v>
      </c>
      <c r="J71">
        <f t="shared" si="8"/>
        <v>7</v>
      </c>
      <c r="K71" t="str">
        <f t="shared" si="6"/>
        <v>72.28 </v>
      </c>
      <c r="L71">
        <f t="shared" si="9"/>
        <v>840.48</v>
      </c>
      <c r="M71" t="str">
        <f t="shared" si="7"/>
        <v> 1st R</v>
      </c>
    </row>
    <row r="72" spans="1:13" ht="15">
      <c r="A72" t="s">
        <v>1251</v>
      </c>
      <c r="B72" t="s">
        <v>1648</v>
      </c>
      <c r="C72" t="s">
        <v>249</v>
      </c>
      <c r="D72" t="s">
        <v>1252</v>
      </c>
      <c r="E72" t="s">
        <v>1138</v>
      </c>
      <c r="F72" t="s">
        <v>1253</v>
      </c>
      <c r="G72" t="s">
        <v>1254</v>
      </c>
      <c r="H72" t="s">
        <v>1255</v>
      </c>
      <c r="I72" t="str">
        <f t="shared" si="5"/>
        <v>73.19 mi</v>
      </c>
      <c r="J72">
        <f t="shared" si="8"/>
        <v>7</v>
      </c>
      <c r="K72" t="str">
        <f t="shared" si="6"/>
        <v>73.19 </v>
      </c>
      <c r="L72">
        <f t="shared" si="9"/>
        <v>841.3900000000001</v>
      </c>
      <c r="M72" t="str">
        <f t="shared" si="7"/>
        <v> T R</v>
      </c>
    </row>
    <row r="73" spans="1:13" ht="15">
      <c r="A73" t="s">
        <v>250</v>
      </c>
      <c r="B73" t="s">
        <v>1646</v>
      </c>
      <c r="C73" t="s">
        <v>1256</v>
      </c>
      <c r="D73" t="s">
        <v>1664</v>
      </c>
      <c r="E73" t="s">
        <v>319</v>
      </c>
      <c r="F73" t="s">
        <v>1257</v>
      </c>
      <c r="G73" t="s">
        <v>1258</v>
      </c>
      <c r="H73" t="s">
        <v>1259</v>
      </c>
      <c r="I73" t="str">
        <f t="shared" si="5"/>
        <v>73.66 mi</v>
      </c>
      <c r="J73">
        <f t="shared" si="8"/>
        <v>7</v>
      </c>
      <c r="K73" t="str">
        <f t="shared" si="6"/>
        <v>73.66 </v>
      </c>
      <c r="L73">
        <f t="shared" si="9"/>
        <v>841.86</v>
      </c>
      <c r="M73" t="str">
        <f t="shared" si="7"/>
        <v> X</v>
      </c>
    </row>
    <row r="74" spans="1:13" ht="15">
      <c r="A74" t="s">
        <v>1260</v>
      </c>
      <c r="B74" t="s">
        <v>1643</v>
      </c>
      <c r="C74" t="s">
        <v>1997</v>
      </c>
      <c r="D74" t="s">
        <v>1998</v>
      </c>
      <c r="E74" t="s">
        <v>1139</v>
      </c>
      <c r="F74" t="s">
        <v>1999</v>
      </c>
      <c r="G74" t="s">
        <v>1261</v>
      </c>
      <c r="H74" t="s">
        <v>1262</v>
      </c>
      <c r="I74" t="str">
        <f t="shared" si="5"/>
        <v>73.79 mi</v>
      </c>
      <c r="J74">
        <f t="shared" si="8"/>
        <v>7</v>
      </c>
      <c r="K74" t="str">
        <f t="shared" si="6"/>
        <v>73.79 </v>
      </c>
      <c r="L74">
        <f t="shared" si="9"/>
        <v>841.99</v>
      </c>
      <c r="M74" t="str">
        <f t="shared" si="7"/>
        <v> 1st L</v>
      </c>
    </row>
    <row r="75" spans="1:13" ht="15">
      <c r="A75" t="s">
        <v>2000</v>
      </c>
      <c r="B75" t="s">
        <v>1641</v>
      </c>
      <c r="C75" t="s">
        <v>2173</v>
      </c>
      <c r="D75" t="s">
        <v>2001</v>
      </c>
      <c r="E75" t="s">
        <v>320</v>
      </c>
      <c r="F75" t="s">
        <v>2002</v>
      </c>
      <c r="G75" t="s">
        <v>2003</v>
      </c>
      <c r="H75" t="s">
        <v>2004</v>
      </c>
      <c r="I75" t="str">
        <f t="shared" si="5"/>
        <v>76.15 mi</v>
      </c>
      <c r="J75">
        <f t="shared" si="8"/>
        <v>7</v>
      </c>
      <c r="K75" t="str">
        <f t="shared" si="6"/>
        <v>76.15 </v>
      </c>
      <c r="L75">
        <f t="shared" si="9"/>
        <v>844.35</v>
      </c>
      <c r="M75" t="str">
        <f t="shared" si="7"/>
        <v> R</v>
      </c>
    </row>
    <row r="76" spans="1:13" ht="15">
      <c r="A76" t="s">
        <v>2174</v>
      </c>
      <c r="B76" t="s">
        <v>1631</v>
      </c>
      <c r="C76" t="s">
        <v>2199</v>
      </c>
      <c r="D76" t="s">
        <v>2005</v>
      </c>
      <c r="E76" t="s">
        <v>321</v>
      </c>
      <c r="F76" t="s">
        <v>2006</v>
      </c>
      <c r="G76" t="s">
        <v>2007</v>
      </c>
      <c r="H76" t="s">
        <v>2008</v>
      </c>
      <c r="I76" t="str">
        <f t="shared" si="5"/>
        <v>77.60 mi</v>
      </c>
      <c r="J76">
        <f t="shared" si="8"/>
        <v>7</v>
      </c>
      <c r="K76" t="str">
        <f t="shared" si="6"/>
        <v>77.60 </v>
      </c>
      <c r="L76">
        <f t="shared" si="9"/>
        <v>845.8000000000001</v>
      </c>
      <c r="M76" t="str">
        <f t="shared" si="7"/>
        <v> Straight</v>
      </c>
    </row>
    <row r="77" spans="1:13" ht="15">
      <c r="A77" t="s">
        <v>2200</v>
      </c>
      <c r="B77" t="s">
        <v>1644</v>
      </c>
      <c r="C77" t="s">
        <v>2009</v>
      </c>
      <c r="D77" t="s">
        <v>1662</v>
      </c>
      <c r="E77" t="s">
        <v>322</v>
      </c>
      <c r="F77" t="s">
        <v>2175</v>
      </c>
      <c r="G77" t="s">
        <v>2010</v>
      </c>
      <c r="H77" t="s">
        <v>2011</v>
      </c>
      <c r="I77" t="str">
        <f t="shared" si="5"/>
        <v>78.46 mi</v>
      </c>
      <c r="J77">
        <f t="shared" si="8"/>
        <v>7</v>
      </c>
      <c r="K77" t="str">
        <f t="shared" si="6"/>
        <v>78.46 </v>
      </c>
      <c r="L77">
        <f t="shared" si="9"/>
        <v>846.6600000000001</v>
      </c>
      <c r="M77" t="str">
        <f t="shared" si="7"/>
        <v> L</v>
      </c>
    </row>
    <row r="78" spans="1:13" ht="15">
      <c r="A78" t="s">
        <v>2012</v>
      </c>
      <c r="B78" t="s">
        <v>2013</v>
      </c>
      <c r="C78" t="s">
        <v>2176</v>
      </c>
      <c r="D78" t="s">
        <v>1265</v>
      </c>
      <c r="E78" t="s">
        <v>2177</v>
      </c>
      <c r="F78" t="s">
        <v>2178</v>
      </c>
      <c r="G78" t="s">
        <v>2179</v>
      </c>
      <c r="H78" t="s">
        <v>2180</v>
      </c>
      <c r="I78" t="str">
        <f t="shared" si="5"/>
        <v>79.05 mi</v>
      </c>
      <c r="J78">
        <f t="shared" si="8"/>
        <v>7</v>
      </c>
      <c r="K78" t="str">
        <f t="shared" si="6"/>
        <v>79.05 </v>
      </c>
      <c r="L78">
        <f t="shared" si="9"/>
        <v>847.25</v>
      </c>
      <c r="M78" t="str">
        <f t="shared" si="7"/>
        <v> X / Caution</v>
      </c>
    </row>
    <row r="79" spans="1:13" ht="15">
      <c r="A79" t="s">
        <v>2181</v>
      </c>
      <c r="B79" t="s">
        <v>1648</v>
      </c>
      <c r="C79" t="s">
        <v>2201</v>
      </c>
      <c r="D79" t="s">
        <v>2182</v>
      </c>
      <c r="E79" t="s">
        <v>2183</v>
      </c>
      <c r="F79" t="s">
        <v>2184</v>
      </c>
      <c r="G79" t="s">
        <v>2185</v>
      </c>
      <c r="H79" t="s">
        <v>2186</v>
      </c>
      <c r="I79" t="str">
        <f t="shared" si="5"/>
        <v>79.83 mi</v>
      </c>
      <c r="J79">
        <f t="shared" si="8"/>
        <v>7</v>
      </c>
      <c r="K79" t="str">
        <f t="shared" si="6"/>
        <v>79.83 </v>
      </c>
      <c r="L79">
        <f t="shared" si="9"/>
        <v>848.0300000000001</v>
      </c>
      <c r="M79" t="str">
        <f t="shared" si="7"/>
        <v> T R</v>
      </c>
    </row>
    <row r="80" spans="1:13" ht="15">
      <c r="A80" t="s">
        <v>2202</v>
      </c>
      <c r="B80" t="s">
        <v>1647</v>
      </c>
      <c r="C80" t="s">
        <v>2014</v>
      </c>
      <c r="D80" t="s">
        <v>2489</v>
      </c>
      <c r="E80" t="s">
        <v>2187</v>
      </c>
      <c r="F80" t="s">
        <v>2188</v>
      </c>
      <c r="G80" t="s">
        <v>2189</v>
      </c>
      <c r="H80" t="s">
        <v>2190</v>
      </c>
      <c r="I80" t="str">
        <f t="shared" si="5"/>
        <v>81.33 mi</v>
      </c>
      <c r="J80">
        <f t="shared" si="8"/>
        <v>7</v>
      </c>
      <c r="K80" t="str">
        <f t="shared" si="6"/>
        <v>81.33 </v>
      </c>
      <c r="L80">
        <f t="shared" si="9"/>
        <v>849.5300000000001</v>
      </c>
      <c r="M80" t="str">
        <f t="shared" si="7"/>
        <v> T L</v>
      </c>
    </row>
    <row r="81" spans="1:13" ht="15">
      <c r="A81" t="s">
        <v>2015</v>
      </c>
      <c r="B81" t="s">
        <v>1631</v>
      </c>
      <c r="C81" t="s">
        <v>2016</v>
      </c>
      <c r="D81" t="s">
        <v>3434</v>
      </c>
      <c r="E81" t="s">
        <v>2191</v>
      </c>
      <c r="F81" t="s">
        <v>2017</v>
      </c>
      <c r="G81" t="s">
        <v>2964</v>
      </c>
      <c r="H81" t="s">
        <v>2965</v>
      </c>
      <c r="I81" t="str">
        <f t="shared" si="5"/>
        <v>82.04 mi</v>
      </c>
      <c r="J81">
        <f t="shared" si="8"/>
        <v>7</v>
      </c>
      <c r="K81" t="str">
        <f t="shared" si="6"/>
        <v>82.04 </v>
      </c>
      <c r="L81">
        <f t="shared" si="9"/>
        <v>850.24</v>
      </c>
      <c r="M81" t="str">
        <f t="shared" si="7"/>
        <v> Straight</v>
      </c>
    </row>
    <row r="82" spans="1:13" ht="15">
      <c r="A82" t="s">
        <v>2966</v>
      </c>
      <c r="B82" t="s">
        <v>1645</v>
      </c>
      <c r="C82" t="s">
        <v>2967</v>
      </c>
      <c r="D82" t="s">
        <v>2968</v>
      </c>
      <c r="E82" t="s">
        <v>2192</v>
      </c>
      <c r="F82" t="s">
        <v>2969</v>
      </c>
      <c r="G82" t="s">
        <v>2970</v>
      </c>
      <c r="H82" t="s">
        <v>2971</v>
      </c>
      <c r="I82" t="str">
        <f t="shared" si="5"/>
        <v>82.68 mi</v>
      </c>
      <c r="J82">
        <f t="shared" si="8"/>
        <v>7</v>
      </c>
      <c r="K82" t="str">
        <f t="shared" si="6"/>
        <v>82.68 </v>
      </c>
      <c r="L82">
        <f t="shared" si="9"/>
        <v>850.8800000000001</v>
      </c>
      <c r="M82" t="str">
        <f t="shared" si="7"/>
        <v> B R</v>
      </c>
    </row>
    <row r="83" spans="1:13" ht="15">
      <c r="A83" t="s">
        <v>2972</v>
      </c>
      <c r="B83" t="s">
        <v>1647</v>
      </c>
      <c r="C83" t="s">
        <v>2973</v>
      </c>
      <c r="D83" t="s">
        <v>1268</v>
      </c>
      <c r="E83" t="s">
        <v>2193</v>
      </c>
      <c r="F83" t="s">
        <v>2974</v>
      </c>
      <c r="G83" t="s">
        <v>2975</v>
      </c>
      <c r="H83" t="s">
        <v>2976</v>
      </c>
      <c r="I83" t="str">
        <f t="shared" si="5"/>
        <v>85.27 mi</v>
      </c>
      <c r="J83">
        <f t="shared" si="8"/>
        <v>7</v>
      </c>
      <c r="K83" t="str">
        <f t="shared" si="6"/>
        <v>85.27 </v>
      </c>
      <c r="L83">
        <f t="shared" si="9"/>
        <v>853.47</v>
      </c>
      <c r="M83" t="str">
        <f t="shared" si="7"/>
        <v> T L</v>
      </c>
    </row>
    <row r="84" spans="1:13" ht="15">
      <c r="A84" t="s">
        <v>2977</v>
      </c>
      <c r="B84" t="s">
        <v>1645</v>
      </c>
      <c r="C84" t="s">
        <v>2978</v>
      </c>
      <c r="D84" t="s">
        <v>3574</v>
      </c>
      <c r="E84" t="s">
        <v>2194</v>
      </c>
      <c r="F84" t="s">
        <v>2979</v>
      </c>
      <c r="G84" t="s">
        <v>2980</v>
      </c>
      <c r="H84" t="s">
        <v>2981</v>
      </c>
      <c r="I84" t="str">
        <f t="shared" si="5"/>
        <v>86.04 mi</v>
      </c>
      <c r="J84">
        <f t="shared" si="8"/>
        <v>7</v>
      </c>
      <c r="K84" t="str">
        <f t="shared" si="6"/>
        <v>86.04 </v>
      </c>
      <c r="L84">
        <f t="shared" si="9"/>
        <v>854.24</v>
      </c>
      <c r="M84" t="str">
        <f t="shared" si="7"/>
        <v> B R</v>
      </c>
    </row>
    <row r="85" spans="1:13" ht="15">
      <c r="A85" t="s">
        <v>2982</v>
      </c>
      <c r="B85" t="s">
        <v>1644</v>
      </c>
      <c r="C85" t="s">
        <v>2983</v>
      </c>
      <c r="D85" t="s">
        <v>1265</v>
      </c>
      <c r="E85" t="s">
        <v>2577</v>
      </c>
      <c r="F85" t="s">
        <v>2984</v>
      </c>
      <c r="G85" t="s">
        <v>2985</v>
      </c>
      <c r="H85" t="s">
        <v>251</v>
      </c>
      <c r="I85" t="str">
        <f t="shared" si="5"/>
        <v>86.44 mi</v>
      </c>
      <c r="J85">
        <f t="shared" si="8"/>
        <v>7</v>
      </c>
      <c r="K85" t="str">
        <f t="shared" si="6"/>
        <v>86.44 </v>
      </c>
      <c r="L85">
        <f t="shared" si="9"/>
        <v>854.6400000000001</v>
      </c>
      <c r="M85" t="str">
        <f t="shared" si="7"/>
        <v> L</v>
      </c>
    </row>
    <row r="86" spans="1:13" ht="15">
      <c r="A86" t="s">
        <v>2986</v>
      </c>
      <c r="B86" t="s">
        <v>1641</v>
      </c>
      <c r="C86" t="s">
        <v>2987</v>
      </c>
      <c r="D86" t="s">
        <v>2988</v>
      </c>
      <c r="E86" t="s">
        <v>2195</v>
      </c>
      <c r="F86" t="s">
        <v>2989</v>
      </c>
      <c r="G86" t="s">
        <v>2990</v>
      </c>
      <c r="H86" t="s">
        <v>2991</v>
      </c>
      <c r="I86" t="str">
        <f t="shared" si="5"/>
        <v>87.23 mi</v>
      </c>
      <c r="J86">
        <f t="shared" si="8"/>
        <v>7</v>
      </c>
      <c r="K86" t="str">
        <f t="shared" si="6"/>
        <v>87.23 </v>
      </c>
      <c r="L86">
        <f t="shared" si="9"/>
        <v>855.4300000000001</v>
      </c>
      <c r="M86" t="str">
        <f t="shared" si="7"/>
        <v> R</v>
      </c>
    </row>
    <row r="87" spans="1:13" ht="15">
      <c r="A87" t="s">
        <v>2992</v>
      </c>
      <c r="B87" t="s">
        <v>1644</v>
      </c>
      <c r="C87" t="s">
        <v>2993</v>
      </c>
      <c r="D87" t="s">
        <v>2422</v>
      </c>
      <c r="E87" t="s">
        <v>2196</v>
      </c>
      <c r="F87" t="s">
        <v>2994</v>
      </c>
      <c r="G87" t="s">
        <v>2995</v>
      </c>
      <c r="H87" t="s">
        <v>2996</v>
      </c>
      <c r="I87" t="str">
        <f t="shared" si="5"/>
        <v>88.78 mi</v>
      </c>
      <c r="J87">
        <f t="shared" si="8"/>
        <v>7</v>
      </c>
      <c r="K87" t="str">
        <f t="shared" si="6"/>
        <v>88.78 </v>
      </c>
      <c r="L87">
        <f t="shared" si="9"/>
        <v>856.98</v>
      </c>
      <c r="M87" t="str">
        <f t="shared" si="7"/>
        <v> L</v>
      </c>
    </row>
    <row r="88" spans="1:13" ht="15">
      <c r="A88" t="s">
        <v>2997</v>
      </c>
      <c r="B88" t="s">
        <v>1648</v>
      </c>
      <c r="C88" t="s">
        <v>323</v>
      </c>
      <c r="D88" t="s">
        <v>1097</v>
      </c>
      <c r="E88" t="s">
        <v>2197</v>
      </c>
      <c r="F88" t="s">
        <v>2998</v>
      </c>
      <c r="G88" t="s">
        <v>2999</v>
      </c>
      <c r="H88" t="s">
        <v>3000</v>
      </c>
      <c r="I88" t="str">
        <f>TRIM(E88)</f>
        <v>89.60 mi</v>
      </c>
      <c r="J88">
        <f t="shared" si="8"/>
        <v>7</v>
      </c>
      <c r="K88" t="str">
        <f>LEFT(I88,J88-1)</f>
        <v>89.60 </v>
      </c>
      <c r="L88">
        <f t="shared" si="9"/>
        <v>857.8000000000001</v>
      </c>
      <c r="M88" t="str">
        <f>IF(B88&lt;&gt;" ???",B88,$M$1)</f>
        <v> T R</v>
      </c>
    </row>
    <row r="89" spans="1:13" ht="15">
      <c r="A89" t="s">
        <v>1111</v>
      </c>
      <c r="B89" t="s">
        <v>1644</v>
      </c>
      <c r="C89" t="s">
        <v>1112</v>
      </c>
      <c r="D89" t="s">
        <v>2478</v>
      </c>
      <c r="E89" t="s">
        <v>2198</v>
      </c>
      <c r="F89" t="s">
        <v>1113</v>
      </c>
      <c r="G89" t="s">
        <v>1263</v>
      </c>
      <c r="H89" t="s">
        <v>1264</v>
      </c>
      <c r="I89" t="str">
        <f>TRIM(E89)</f>
        <v>92.23 mi</v>
      </c>
      <c r="J89">
        <f t="shared" si="8"/>
        <v>7</v>
      </c>
      <c r="K89" t="str">
        <f>LEFT(I89,J89-1)</f>
        <v>92.23 </v>
      </c>
      <c r="L89">
        <f t="shared" si="9"/>
        <v>860.4300000000001</v>
      </c>
      <c r="M89" t="str">
        <f>IF(B89&lt;&gt;" ???",B89,$M$1)</f>
        <v> L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Rosenbauer</dc:creator>
  <cp:keywords/>
  <dc:description/>
  <cp:lastModifiedBy> </cp:lastModifiedBy>
  <cp:lastPrinted>2013-08-04T21:01:49Z</cp:lastPrinted>
  <dcterms:created xsi:type="dcterms:W3CDTF">2004-01-05T03:10:58Z</dcterms:created>
  <dcterms:modified xsi:type="dcterms:W3CDTF">2013-08-04T21:08:18Z</dcterms:modified>
  <cp:category/>
  <cp:version/>
  <cp:contentType/>
  <cp:contentStatus/>
</cp:coreProperties>
</file>